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35" windowWidth="18915" windowHeight="936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785" i="2" l="1"/>
  <c r="I684" i="2" l="1"/>
  <c r="I707" i="2"/>
  <c r="I762" i="2"/>
  <c r="I768" i="2"/>
  <c r="I766" i="2"/>
  <c r="I770" i="2" s="1"/>
  <c r="I721" i="2"/>
  <c r="I720" i="2"/>
  <c r="I716" i="2"/>
  <c r="I715" i="2"/>
  <c r="I722" i="2" s="1"/>
  <c r="I714" i="2"/>
  <c r="I713" i="2"/>
  <c r="I711" i="2"/>
  <c r="I704" i="2"/>
  <c r="I705" i="2" s="1"/>
  <c r="I698" i="2"/>
  <c r="I699" i="2" s="1"/>
  <c r="I694" i="2"/>
  <c r="I692" i="2"/>
  <c r="I691" i="2"/>
  <c r="I690" i="2"/>
  <c r="I688" i="2"/>
  <c r="I687" i="2"/>
  <c r="I685" i="2"/>
  <c r="I683" i="2"/>
  <c r="I680" i="2"/>
  <c r="I679" i="2"/>
  <c r="I678" i="2"/>
  <c r="I677" i="2"/>
  <c r="I676" i="2"/>
  <c r="I695" i="2" s="1"/>
  <c r="L275" i="2" l="1"/>
  <c r="L273" i="2"/>
  <c r="L261" i="2"/>
  <c r="L222" i="2"/>
  <c r="L214" i="2"/>
  <c r="L187" i="2"/>
  <c r="L182" i="2"/>
  <c r="L163" i="2"/>
  <c r="L161" i="2"/>
  <c r="L144" i="2"/>
  <c r="L133" i="2"/>
  <c r="L125" i="2"/>
  <c r="L117" i="2"/>
  <c r="L110" i="2"/>
  <c r="L108" i="2"/>
  <c r="L103" i="2"/>
  <c r="L102" i="2"/>
  <c r="L101" i="2"/>
  <c r="L49" i="2"/>
  <c r="L29" i="2"/>
  <c r="J2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TRANSF. A: (H.R.T.Q.P.J.B.), AYUDA ECONOMICA, P/COLAB. CON EL PROCED. QUIRURGICO DE FEMUR DERECHO A FAVOR DE LA SR. CLARIDYS SALAZAR ROSARIO, SEGUN OFICIO #13168, DE FECHA 07/06/2022.</t>
        </r>
      </text>
    </comment>
  </commentList>
</comments>
</file>

<file path=xl/sharedStrings.xml><?xml version="1.0" encoding="utf-8"?>
<sst xmlns="http://schemas.openxmlformats.org/spreadsheetml/2006/main" count="749" uniqueCount="685">
  <si>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</si>
  <si>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</si>
  <si>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</si>
  <si>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</si>
  <si>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</si>
  <si>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</si>
  <si>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</si>
  <si>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</si>
  <si>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</si>
  <si>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</si>
  <si>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</si>
  <si>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</si>
  <si>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</si>
  <si>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</si>
  <si>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</si>
  <si>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</si>
  <si>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</si>
  <si>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</si>
  <si>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</si>
  <si>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</si>
  <si>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</si>
  <si>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</si>
  <si>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</si>
  <si>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</si>
  <si>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</si>
  <si>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</si>
  <si>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</si>
  <si>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</si>
  <si>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</si>
  <si>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</si>
  <si>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</si>
  <si>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</si>
  <si>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</si>
  <si>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</si>
  <si>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</si>
  <si>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</si>
  <si>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</si>
  <si>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</si>
  <si>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</si>
  <si>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</si>
  <si>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</si>
  <si>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</si>
  <si>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</si>
  <si>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</si>
  <si>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</si>
  <si>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</si>
  <si>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</si>
  <si>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</si>
  <si>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</si>
  <si>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</si>
  <si>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</si>
  <si>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</si>
  <si>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</si>
  <si>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</si>
  <si>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</si>
  <si>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</si>
  <si>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</si>
  <si>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</si>
  <si>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</si>
  <si>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</si>
  <si>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</si>
  <si>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</si>
  <si>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</si>
  <si>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</si>
  <si>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</si>
  <si>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</si>
  <si>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</si>
  <si>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</si>
  <si>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</si>
  <si>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</si>
  <si>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</si>
  <si>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</si>
  <si>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</si>
  <si>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</si>
  <si>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</si>
  <si>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</si>
  <si>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</si>
  <si>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</si>
  <si>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</si>
  <si>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</si>
  <si>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</si>
  <si>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</si>
  <si>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</si>
  <si>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</si>
  <si>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</si>
  <si>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</si>
  <si>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</si>
  <si>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</si>
  <si>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</si>
  <si>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</si>
  <si>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</si>
  <si>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</si>
  <si>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</si>
  <si>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</si>
  <si>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</si>
  <si>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</si>
  <si>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</si>
  <si>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</si>
  <si>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</si>
  <si>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</si>
  <si>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</si>
  <si>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</si>
  <si>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</si>
  <si>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</si>
  <si>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</si>
  <si>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</si>
  <si>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</si>
  <si>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</si>
  <si>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</si>
  <si>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</si>
  <si>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</si>
  <si>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</si>
  <si>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</si>
  <si>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</si>
  <si>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</si>
  <si>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</si>
  <si>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</si>
  <si>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</si>
  <si>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</si>
  <si>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</si>
  <si>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</si>
  <si>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</si>
  <si>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</si>
  <si>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</si>
  <si>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</si>
  <si>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</si>
  <si>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</si>
  <si>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</si>
  <si>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</si>
  <si>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</si>
  <si>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</si>
  <si>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</si>
  <si>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</si>
  <si>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</si>
  <si>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</si>
  <si>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</si>
  <si>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</si>
  <si>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</si>
  <si>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</si>
  <si>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</si>
  <si>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</si>
  <si>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</si>
  <si>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</si>
  <si>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</si>
  <si>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</si>
  <si>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</si>
  <si>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</si>
  <si>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</si>
  <si>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</si>
  <si>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</si>
  <si>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</si>
  <si>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</si>
  <si>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</si>
  <si>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</si>
  <si>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</si>
  <si>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</si>
  <si>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</si>
  <si>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</si>
  <si>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</si>
  <si>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</si>
  <si>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</si>
  <si>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</si>
  <si>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</si>
  <si>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</si>
  <si>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</si>
  <si>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</si>
  <si>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</si>
  <si>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</si>
  <si>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</si>
  <si>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</si>
  <si>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</si>
  <si>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</si>
  <si>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</si>
  <si>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</si>
  <si>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</si>
  <si>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</si>
  <si>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</si>
  <si>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</si>
  <si>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</si>
  <si>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</si>
  <si>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</si>
  <si>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</si>
  <si>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</si>
  <si>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</si>
  <si>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</si>
  <si>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</si>
  <si>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</si>
  <si>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</si>
  <si>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</si>
  <si>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</si>
  <si>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</si>
  <si>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</si>
  <si>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</si>
  <si>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</si>
  <si>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</si>
  <si>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</si>
  <si>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</si>
  <si>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</si>
  <si>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</si>
  <si>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</si>
  <si>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</si>
  <si>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</si>
  <si>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</si>
  <si>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</si>
  <si>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</si>
  <si>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</si>
  <si>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</si>
  <si>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</si>
  <si>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</si>
  <si>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</si>
  <si>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</si>
  <si>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</si>
  <si>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</si>
  <si>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</si>
  <si>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</si>
  <si>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</si>
  <si>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</si>
  <si>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</si>
  <si>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</si>
  <si>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</si>
  <si>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</si>
  <si>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</si>
  <si>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</si>
  <si>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</si>
  <si>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</si>
  <si>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</si>
  <si>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</si>
  <si>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</si>
  <si>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</si>
  <si>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</si>
  <si>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</si>
  <si>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</si>
  <si>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</si>
  <si>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</si>
  <si>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</si>
  <si>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</si>
  <si>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</si>
  <si>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</si>
  <si>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</si>
  <si>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</si>
  <si>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</si>
  <si>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</si>
  <si>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</si>
  <si>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</si>
  <si>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</si>
  <si>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</si>
  <si>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</si>
  <si>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</si>
  <si>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</si>
  <si>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</si>
  <si>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</si>
  <si>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</si>
  <si>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</si>
  <si>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</si>
  <si>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</si>
  <si>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</si>
  <si>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</si>
  <si>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</si>
  <si>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</si>
  <si>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</si>
  <si>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</si>
  <si>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</si>
  <si>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</si>
  <si>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</si>
  <si>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</si>
  <si>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</si>
  <si>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</si>
  <si>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</si>
  <si>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</si>
  <si>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</si>
  <si>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</si>
  <si>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</si>
  <si>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</si>
  <si>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</si>
  <si>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</si>
  <si>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</si>
  <si>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</si>
  <si>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</si>
  <si>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</si>
  <si>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</si>
  <si>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</si>
  <si>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</si>
  <si>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</si>
  <si>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</si>
  <si>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</si>
  <si>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</si>
  <si>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</si>
  <si>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</si>
  <si>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</si>
  <si>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</si>
  <si>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</si>
  <si>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</si>
  <si>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</si>
  <si>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</si>
  <si>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</si>
  <si>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</si>
  <si>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</si>
  <si>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</si>
  <si>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</si>
  <si>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</si>
  <si>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</si>
  <si>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</si>
  <si>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</si>
  <si>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</si>
  <si>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</si>
  <si>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</si>
  <si>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</si>
  <si>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</si>
  <si>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</si>
  <si>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</si>
  <si>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</si>
  <si>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</si>
  <si>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</si>
  <si>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</si>
  <si>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</si>
  <si>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</si>
  <si>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</si>
  <si>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</si>
  <si>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</si>
  <si>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</si>
  <si>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</si>
  <si>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</si>
  <si>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</si>
  <si>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</si>
  <si>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</si>
  <si>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</si>
  <si>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</si>
  <si>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</si>
  <si>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</si>
  <si>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</si>
  <si>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</si>
  <si>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</si>
  <si>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</si>
  <si>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</si>
  <si>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</si>
  <si>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</si>
  <si>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</si>
  <si>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</si>
  <si>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</si>
  <si>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</si>
  <si>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</si>
  <si>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</si>
  <si>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</si>
  <si>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</si>
  <si>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</si>
  <si>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</si>
  <si>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</si>
  <si>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</si>
  <si>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</si>
  <si>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</si>
  <si>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</si>
  <si>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</si>
  <si>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</si>
  <si>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</si>
  <si>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</si>
  <si>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</si>
  <si>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</si>
  <si>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</si>
  <si>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</si>
  <si>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</si>
  <si>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</si>
  <si>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</si>
  <si>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</si>
  <si>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</si>
  <si>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</si>
  <si>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</si>
  <si>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</si>
  <si>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</si>
  <si>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</si>
  <si>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</si>
  <si>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</si>
  <si>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</si>
  <si>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</si>
  <si>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</si>
  <si>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</si>
  <si>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</si>
  <si>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</si>
  <si>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</si>
  <si>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</si>
  <si>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</si>
  <si>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</si>
  <si>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</si>
  <si>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</si>
  <si>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</si>
  <si>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</si>
  <si>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</si>
  <si>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</si>
  <si>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</si>
  <si>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</si>
  <si>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</si>
  <si>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</si>
  <si>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</si>
  <si>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</si>
  <si>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</si>
  <si>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</si>
  <si>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</si>
  <si>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</si>
  <si>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</si>
  <si>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</si>
  <si>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</si>
  <si>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</si>
  <si>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</si>
  <si>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</si>
  <si>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</si>
  <si>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</si>
  <si>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</si>
  <si>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</si>
  <si>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</si>
  <si>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</si>
  <si>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</si>
  <si>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</si>
  <si>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</si>
  <si>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</si>
  <si>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</si>
  <si>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</si>
  <si>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</si>
  <si>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</si>
  <si>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</si>
  <si>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</si>
  <si>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</si>
  <si>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</si>
  <si>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</si>
  <si>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</si>
  <si>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</si>
  <si>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</si>
  <si>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</si>
  <si>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</si>
  <si>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</si>
  <si>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</si>
  <si>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</si>
  <si>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</si>
  <si>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</si>
  <si>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</si>
  <si>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</si>
  <si>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</si>
  <si>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</si>
  <si>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</si>
  <si>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</si>
  <si>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</si>
  <si>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</si>
  <si>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</si>
  <si>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</si>
  <si>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</si>
  <si>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</si>
  <si>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</si>
  <si>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</si>
  <si>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</si>
  <si>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</si>
  <si>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</si>
  <si>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</si>
  <si>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</si>
  <si>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</si>
  <si>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</si>
  <si>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</si>
  <si>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</si>
  <si>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</si>
  <si>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</si>
  <si>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</si>
  <si>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</si>
  <si>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</si>
  <si>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</si>
  <si>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</si>
  <si>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</si>
  <si>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</si>
  <si>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</si>
  <si>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</si>
  <si>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</si>
  <si>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</si>
  <si>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</si>
  <si>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</si>
  <si>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</si>
  <si>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</si>
  <si>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</si>
  <si>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</si>
  <si>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</si>
  <si>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</si>
  <si>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</si>
  <si>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</si>
  <si>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</si>
  <si>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</si>
  <si>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</si>
  <si>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</si>
  <si>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</si>
  <si>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</si>
  <si>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</si>
  <si>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</si>
  <si>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</si>
  <si>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</si>
  <si>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</si>
  <si>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</si>
  <si>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</si>
  <si>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</si>
  <si>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</si>
  <si>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</si>
  <si>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</si>
  <si>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</si>
  <si>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</si>
  <si>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</si>
  <si>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</si>
  <si>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</si>
  <si>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</si>
  <si>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</si>
  <si>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</si>
  <si>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</si>
  <si>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</si>
  <si>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</si>
  <si>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</si>
  <si>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</si>
  <si>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</si>
  <si>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</si>
  <si>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</si>
  <si>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</si>
  <si>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</si>
  <si>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</si>
  <si>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</si>
  <si>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</si>
  <si>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</si>
  <si>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</si>
  <si>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</si>
  <si>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</si>
  <si>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</si>
  <si>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</si>
  <si>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</si>
  <si>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</si>
  <si>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</si>
  <si>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</si>
  <si>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</si>
  <si>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</si>
  <si>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</si>
  <si>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</si>
  <si>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</si>
  <si>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</si>
  <si>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</si>
  <si>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</si>
  <si>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</si>
  <si>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</si>
  <si>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</si>
  <si>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</si>
  <si>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</si>
  <si>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</si>
  <si>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</si>
  <si>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</si>
  <si>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</si>
  <si>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</si>
  <si>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</si>
  <si>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</si>
  <si>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</si>
  <si>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</si>
  <si>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</si>
  <si>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</si>
  <si>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</si>
  <si>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</si>
  <si>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</si>
  <si>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</si>
  <si>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</si>
  <si>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</si>
  <si>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</si>
  <si>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</si>
  <si>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</si>
  <si>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</si>
  <si>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</si>
  <si>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</si>
  <si>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</si>
  <si>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</si>
  <si>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</si>
  <si>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</si>
  <si>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</si>
  <si>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</si>
  <si>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</si>
  <si>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</si>
  <si>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</si>
  <si>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</si>
  <si>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</si>
  <si>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</si>
  <si>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</si>
  <si>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</si>
  <si>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</si>
  <si>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</si>
  <si>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</si>
  <si>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</si>
  <si>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</si>
  <si>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</si>
  <si>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</si>
  <si>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</si>
  <si>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</si>
  <si>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</si>
  <si>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</si>
  <si>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</si>
  <si>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</si>
  <si>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</si>
  <si>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</si>
  <si>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</si>
  <si>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</si>
  <si>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</si>
  <si>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</si>
  <si>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</si>
  <si>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</si>
  <si>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</si>
  <si>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</si>
  <si>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</si>
  <si>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</si>
  <si>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</si>
  <si>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</si>
  <si>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</si>
  <si>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</si>
  <si>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</si>
  <si>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</si>
  <si>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</si>
  <si>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</si>
  <si>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</si>
  <si>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</si>
  <si>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</si>
  <si>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</si>
  <si>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</si>
  <si>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</si>
  <si>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</si>
  <si>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</si>
  <si>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</si>
  <si>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</si>
  <si>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</si>
  <si>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</si>
  <si>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</si>
  <si>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</si>
  <si>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</si>
  <si>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</si>
  <si>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</si>
  <si>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</si>
  <si>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</si>
  <si>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</si>
  <si>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</si>
  <si>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</si>
  <si>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</si>
  <si>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</si>
  <si>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</si>
  <si>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</si>
  <si>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</si>
  <si>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</si>
  <si>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</si>
  <si>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</si>
  <si>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</si>
  <si>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</si>
  <si>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</si>
  <si>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</si>
  <si>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</si>
  <si>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BIOPSIA SIMPLE</t>
  </si>
  <si>
    <t>MAXILOFACIAL</t>
  </si>
  <si>
    <t>RETIRO FERULA ERICK</t>
  </si>
  <si>
    <t>ARS/ARL</t>
  </si>
  <si>
    <t>Aportes SNS Nómina</t>
  </si>
  <si>
    <t>UNICA Ó COLECTORA (CU): 100-01-010-252740-7</t>
  </si>
  <si>
    <t>INTERNAMIENTO</t>
  </si>
  <si>
    <t>EXODONCIA COLGAJO</t>
  </si>
  <si>
    <t>DEPOSITOS</t>
  </si>
  <si>
    <r>
      <t xml:space="preserve">Establecimiento: </t>
    </r>
    <r>
      <rPr>
        <u/>
        <sz val="11"/>
        <rFont val="Arial"/>
        <family val="2"/>
      </rPr>
      <t>HOSPITAL TRAUMATOLOGICO Y QUIRURGICO PROF JUAN BOSCH</t>
    </r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</si>
  <si>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</si>
  <si>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</si>
  <si>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RX COLUMNA DORSO LUMBAR</t>
  </si>
  <si>
    <t>DESTARTAJE COMPLETO</t>
  </si>
  <si>
    <t>EXODONCIA 3RO MOLAR</t>
  </si>
  <si>
    <t>SERVICIOS DE URGENCIA</t>
  </si>
  <si>
    <t>SOBRANTE/FALTANTE</t>
  </si>
  <si>
    <t>RESONANCIA DE COLUMNA DORSAL</t>
  </si>
  <si>
    <t xml:space="preserve">REINTEGRO TN AVISO DE CREDITO </t>
  </si>
  <si>
    <t>RESTAURACION CLASE III</t>
  </si>
  <si>
    <t>TERAPIA/ELECTRO T./ESTIMULACION</t>
  </si>
  <si>
    <t>ALQUILER DE  LA MAQUINA DE COMESTIBLE</t>
  </si>
  <si>
    <t>BIOPSIA MAMA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</si>
  <si>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</si>
  <si>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</si>
  <si>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</si>
  <si>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RX CODO</t>
  </si>
  <si>
    <t>RX COLUMNA CERVICAL</t>
  </si>
  <si>
    <t>GINGIVECTOMIA</t>
  </si>
  <si>
    <t>RESTAURACION CLASE II</t>
  </si>
  <si>
    <t>MES DE JULIO 2022</t>
  </si>
  <si>
    <t>Período:  JULIO</t>
  </si>
  <si>
    <t>RX CADERA</t>
  </si>
  <si>
    <t>RX DEDOS DE MANO</t>
  </si>
  <si>
    <t>RX HUMERO</t>
  </si>
  <si>
    <t xml:space="preserve">RX SENOS PARA NASALES </t>
  </si>
  <si>
    <t>SONOGRAFIA ESCROTAL</t>
  </si>
  <si>
    <t xml:space="preserve">ENDODONCIA  EN PREMOLAR </t>
  </si>
  <si>
    <t>SERVICIO DE AMBULANCIA</t>
  </si>
  <si>
    <t>ALQUILER DE CAFETERIA</t>
  </si>
  <si>
    <t>COLOCACION DE  ARCOS DE 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</si>
</sst>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1"/>
      <color rgb="FF00B050"/>
      <name val="Cambria"/>
      <family val="1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43" fontId="5" fillId="0" borderId="4" xfId="0" applyNumberFormat="1" applyFont="1" applyFill="1" applyBorder="1" applyAlignment="1">
      <alignment horizontal="right"/>
    </xf>
    <xf numFmtId="165" fontId="16" fillId="7" borderId="4" xfId="1" applyNumberFormat="1" applyFont="1" applyFill="1" applyBorder="1" applyAlignment="1">
      <alignment horizontal="center"/>
    </xf>
    <xf numFmtId="0" fontId="22" fillId="0" borderId="5" xfId="0" applyFont="1" applyFill="1" applyBorder="1"/>
    <xf numFmtId="0" fontId="36" fillId="0" borderId="5" xfId="1" applyFont="1" applyBorder="1" applyAlignment="1">
      <alignment horizontal="left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1" fillId="2" borderId="6" xfId="0" applyNumberFormat="1" applyFont="1" applyFill="1" applyBorder="1" applyAlignment="1">
      <alignment horizontal="center"/>
    </xf>
    <xf numFmtId="43" fontId="41" fillId="2" borderId="5" xfId="0" applyNumberFormat="1" applyFont="1" applyFill="1" applyBorder="1" applyAlignment="1">
      <alignment horizontal="center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2" borderId="0" xfId="0" applyFont="1" applyFill="1"/>
    <xf numFmtId="0" fontId="28" fillId="2" borderId="0" xfId="0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40" fillId="0" borderId="6" xfId="0" applyNumberFormat="1" applyFont="1" applyBorder="1"/>
    <xf numFmtId="43" fontId="42" fillId="2" borderId="10" xfId="2" applyFont="1" applyFill="1" applyBorder="1" applyAlignment="1"/>
    <xf numFmtId="0" fontId="0" fillId="8" borderId="4" xfId="0" applyFill="1" applyBorder="1" applyAlignment="1">
      <alignment horizontal="center"/>
    </xf>
    <xf numFmtId="0" fontId="0" fillId="8" borderId="4" xfId="0" applyFill="1" applyBorder="1"/>
    <xf numFmtId="0" fontId="0" fillId="8" borderId="14" xfId="0" applyFill="1" applyBorder="1"/>
    <xf numFmtId="43" fontId="17" fillId="0" borderId="4" xfId="13" applyFont="1" applyBorder="1"/>
    <xf numFmtId="0" fontId="20" fillId="0" borderId="39" xfId="1" applyFont="1" applyBorder="1" applyAlignment="1">
      <alignment horizontal="left"/>
    </xf>
    <xf numFmtId="0" fontId="15" fillId="0" borderId="40" xfId="1" applyFont="1" applyBorder="1" applyAlignment="1">
      <alignment horizontal="center"/>
    </xf>
    <xf numFmtId="43" fontId="16" fillId="4" borderId="4" xfId="6" applyFont="1" applyFill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6" fillId="4" borderId="41" xfId="6" applyFont="1" applyFill="1" applyBorder="1" applyAlignment="1">
      <alignment horizontal="center"/>
    </xf>
    <xf numFmtId="43" fontId="39" fillId="2" borderId="10" xfId="13" applyFont="1" applyFill="1" applyBorder="1" applyAlignment="1"/>
    <xf numFmtId="43" fontId="0" fillId="0" borderId="0" xfId="0" applyNumberFormat="1" applyFont="1" applyFill="1" applyBorder="1"/>
    <xf numFmtId="0" fontId="22" fillId="0" borderId="6" xfId="1" applyFont="1" applyBorder="1" applyAlignment="1">
      <alignment horizontal="left"/>
    </xf>
    <xf numFmtId="0" fontId="28" fillId="0" borderId="6" xfId="1" applyFont="1" applyBorder="1" applyAlignment="1">
      <alignment horizontal="left"/>
    </xf>
    <xf numFmtId="43" fontId="3" fillId="2" borderId="4" xfId="2" applyFont="1" applyFill="1" applyBorder="1"/>
    <xf numFmtId="43" fontId="45" fillId="2" borderId="4" xfId="2" applyFont="1" applyFill="1" applyBorder="1"/>
    <xf numFmtId="0" fontId="16" fillId="0" borderId="40" xfId="1" applyFont="1" applyBorder="1" applyAlignment="1">
      <alignment horizontal="center"/>
    </xf>
    <xf numFmtId="0" fontId="16" fillId="2" borderId="4" xfId="1" applyFont="1" applyFill="1" applyBorder="1" applyAlignment="1">
      <alignment horizontal="center"/>
    </xf>
    <xf numFmtId="0" fontId="3" fillId="7" borderId="4" xfId="1" applyFont="1" applyFill="1" applyBorder="1" applyAlignment="1">
      <alignment horizontal="left"/>
    </xf>
    <xf numFmtId="43" fontId="16" fillId="4" borderId="42" xfId="6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0" xfId="8" applyFont="1" applyBorder="1" applyAlignment="1">
      <alignment horizont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628650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1057275</xdr:colOff>
      <xdr:row>660</xdr:row>
      <xdr:rowOff>0</xdr:rowOff>
    </xdr:from>
    <xdr:to>
      <xdr:col>8</xdr:col>
      <xdr:colOff>885825</xdr:colOff>
      <xdr:row>660</xdr:row>
      <xdr:rowOff>762000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5050" y="126873000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9"/>
  <sheetViews>
    <sheetView tabSelected="1" zoomScale="80" zoomScaleNormal="80" workbookViewId="0">
      <selection activeCell="J661" sqref="J661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2.85546875" style="1" customWidth="1"/>
    <col min="10" max="10" width="20.2851562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350" t="s">
        <v>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</row>
    <row r="6" spans="1:13" x14ac:dyDescent="0.25">
      <c r="A6" s="350" t="s">
        <v>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</row>
    <row r="7" spans="1:13" x14ac:dyDescent="0.25">
      <c r="A7" s="350" t="s">
        <v>2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</row>
    <row r="8" spans="1:13" x14ac:dyDescent="0.25">
      <c r="A8" s="351" t="s">
        <v>653</v>
      </c>
      <c r="B8" s="351"/>
      <c r="C8" s="351"/>
      <c r="D8" s="351"/>
      <c r="E8" s="351"/>
      <c r="F8" s="351"/>
      <c r="G8" s="351"/>
      <c r="H8" s="351"/>
      <c r="I8" s="95"/>
      <c r="J8" s="95" t="s">
        <v>216</v>
      </c>
      <c r="K8" s="6"/>
      <c r="L8" s="127"/>
    </row>
    <row r="9" spans="1:13" x14ac:dyDescent="0.25">
      <c r="A9" s="226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352" t="s">
        <v>675</v>
      </c>
      <c r="B10" s="352"/>
      <c r="C10" s="352"/>
      <c r="D10" s="352"/>
      <c r="E10" s="352"/>
      <c r="F10" s="352"/>
      <c r="G10" s="352"/>
      <c r="H10" s="6"/>
      <c r="I10" s="95"/>
      <c r="J10" s="95" t="s">
        <v>654</v>
      </c>
      <c r="K10" s="6"/>
      <c r="L10" s="127"/>
    </row>
    <row r="11" spans="1:13" x14ac:dyDescent="0.25">
      <c r="A11" s="354" t="s">
        <v>3</v>
      </c>
      <c r="B11" s="354"/>
      <c r="C11" s="354"/>
      <c r="D11" s="354"/>
      <c r="E11" s="354"/>
      <c r="F11" s="354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353" t="s">
        <v>5</v>
      </c>
      <c r="B14" s="353"/>
      <c r="C14" s="353"/>
      <c r="D14" s="353"/>
      <c r="E14" s="353"/>
      <c r="F14" s="353"/>
      <c r="G14" s="11"/>
      <c r="H14" s="12" t="s">
        <v>6</v>
      </c>
      <c r="I14" s="13"/>
      <c r="J14" s="68" t="s">
        <v>230</v>
      </c>
      <c r="K14" s="69"/>
      <c r="L14" s="127"/>
    </row>
    <row r="15" spans="1:13" x14ac:dyDescent="0.25">
      <c r="A15" s="353" t="s">
        <v>7</v>
      </c>
      <c r="B15" s="353"/>
      <c r="C15" s="353"/>
      <c r="D15" s="353"/>
      <c r="E15" s="353"/>
      <c r="F15" s="353"/>
      <c r="G15" s="11"/>
      <c r="H15" s="5"/>
      <c r="I15" s="5"/>
      <c r="J15" s="70" t="s">
        <v>232</v>
      </c>
      <c r="K15" s="71" t="s">
        <v>233</v>
      </c>
      <c r="L15" s="127"/>
    </row>
    <row r="16" spans="1:13" ht="15.75" thickBot="1" x14ac:dyDescent="0.3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231</v>
      </c>
      <c r="K16" s="71" t="s">
        <v>234</v>
      </c>
      <c r="L16" s="127"/>
    </row>
    <row r="17" spans="1:13" ht="15.75" thickBot="1" x14ac:dyDescent="0.3">
      <c r="A17" s="353" t="s">
        <v>9</v>
      </c>
      <c r="B17" s="353"/>
      <c r="C17" s="353"/>
      <c r="D17" s="353"/>
      <c r="E17" s="353"/>
      <c r="F17" s="353"/>
      <c r="G17" s="260">
        <v>13060303.52</v>
      </c>
      <c r="H17" s="5"/>
      <c r="I17" s="13"/>
      <c r="J17" s="73"/>
      <c r="K17" s="74"/>
      <c r="L17" s="127"/>
    </row>
    <row r="18" spans="1:13" ht="15.75" thickBot="1" x14ac:dyDescent="0.3">
      <c r="A18" s="353" t="s">
        <v>10</v>
      </c>
      <c r="B18" s="353"/>
      <c r="C18" s="353"/>
      <c r="D18" s="353"/>
      <c r="E18" s="353"/>
      <c r="F18" s="353"/>
      <c r="G18" s="250">
        <v>26273513.329999998</v>
      </c>
      <c r="H18" s="5"/>
      <c r="I18" s="13"/>
      <c r="J18" s="14"/>
      <c r="K18" s="14"/>
      <c r="L18" s="127"/>
    </row>
    <row r="19" spans="1:13" ht="27" customHeight="1" thickBot="1" x14ac:dyDescent="0.3">
      <c r="A19" s="333" t="s">
        <v>662</v>
      </c>
      <c r="B19" s="333"/>
      <c r="C19" s="333"/>
      <c r="D19" s="333"/>
      <c r="E19" s="333"/>
      <c r="F19" s="333"/>
      <c r="G19" s="249">
        <v>0</v>
      </c>
      <c r="H19" s="332"/>
      <c r="I19" s="332"/>
      <c r="J19" s="170"/>
      <c r="K19" s="165"/>
      <c r="L19" s="177"/>
    </row>
    <row r="20" spans="1:13" x14ac:dyDescent="0.25">
      <c r="A20" s="333" t="s">
        <v>648</v>
      </c>
      <c r="B20" s="333"/>
      <c r="C20" s="333"/>
      <c r="D20" s="333"/>
      <c r="E20" s="333"/>
      <c r="F20" s="333"/>
      <c r="G20" s="265">
        <v>45500</v>
      </c>
      <c r="H20" s="176"/>
      <c r="I20" s="8"/>
      <c r="J20" s="8"/>
      <c r="K20" s="47"/>
      <c r="L20" s="127"/>
    </row>
    <row r="21" spans="1:13" ht="15.75" thickBot="1" x14ac:dyDescent="0.3">
      <c r="A21" s="334" t="s">
        <v>11</v>
      </c>
      <c r="B21" s="334"/>
      <c r="C21" s="334"/>
      <c r="D21" s="334"/>
      <c r="E21" s="334"/>
      <c r="F21" s="334"/>
      <c r="G21" s="17"/>
      <c r="H21" s="18"/>
      <c r="I21" s="18"/>
      <c r="J21" s="2">
        <f>G14+G15+G17+G18+G19+G20</f>
        <v>39379316.849999994</v>
      </c>
      <c r="K21" s="3"/>
      <c r="L21" s="227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32083317.000000004</v>
      </c>
    </row>
    <row r="23" spans="1:13" s="4" customFormat="1" ht="27" customHeight="1" thickBot="1" x14ac:dyDescent="0.3">
      <c r="A23" s="335" t="s">
        <v>12</v>
      </c>
      <c r="B23" s="335" t="s">
        <v>13</v>
      </c>
      <c r="C23" s="335" t="s">
        <v>14</v>
      </c>
      <c r="D23" s="335" t="s">
        <v>15</v>
      </c>
      <c r="E23" s="335" t="s">
        <v>16</v>
      </c>
      <c r="F23" s="341" t="s">
        <v>17</v>
      </c>
      <c r="G23" s="342"/>
      <c r="H23" s="343"/>
      <c r="I23" s="329" t="s">
        <v>18</v>
      </c>
      <c r="J23" s="330"/>
      <c r="K23" s="330"/>
      <c r="L23" s="331"/>
      <c r="M23" s="338" t="s">
        <v>19</v>
      </c>
    </row>
    <row r="24" spans="1:13" s="4" customFormat="1" ht="27" customHeight="1" x14ac:dyDescent="0.25">
      <c r="A24" s="336"/>
      <c r="B24" s="336"/>
      <c r="C24" s="336"/>
      <c r="D24" s="336"/>
      <c r="E24" s="336"/>
      <c r="F24" s="344"/>
      <c r="G24" s="345"/>
      <c r="H24" s="346"/>
      <c r="I24" s="338" t="s">
        <v>20</v>
      </c>
      <c r="J24" s="338" t="s">
        <v>21</v>
      </c>
      <c r="K24" s="338" t="s">
        <v>22</v>
      </c>
      <c r="L24" s="338" t="s">
        <v>23</v>
      </c>
      <c r="M24" s="339"/>
    </row>
    <row r="25" spans="1:13" s="4" customFormat="1" ht="27" customHeight="1" thickBot="1" x14ac:dyDescent="0.3">
      <c r="A25" s="337"/>
      <c r="B25" s="337"/>
      <c r="C25" s="337"/>
      <c r="D25" s="337"/>
      <c r="E25" s="337"/>
      <c r="F25" s="347"/>
      <c r="G25" s="348"/>
      <c r="H25" s="349"/>
      <c r="I25" s="340"/>
      <c r="J25" s="340"/>
      <c r="K25" s="340"/>
      <c r="L25" s="340"/>
      <c r="M25" s="340"/>
    </row>
    <row r="26" spans="1:13" x14ac:dyDescent="0.25">
      <c r="A26" s="105">
        <v>2</v>
      </c>
      <c r="B26" s="105">
        <v>1</v>
      </c>
      <c r="C26" s="105"/>
      <c r="D26" s="105"/>
      <c r="E26" s="93"/>
      <c r="F26" s="355" t="s">
        <v>24</v>
      </c>
      <c r="G26" s="356"/>
      <c r="H26" s="357"/>
      <c r="I26" s="225">
        <f>J27+J63+J84+J91+J99</f>
        <v>26640380.859999999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358" t="s">
        <v>278</v>
      </c>
      <c r="G27" s="359"/>
      <c r="H27" s="360"/>
      <c r="I27" s="76"/>
      <c r="J27" s="77">
        <f>SUM(K28+K41+K52+K54+K56+K6+K61)</f>
        <v>23059637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80" t="s">
        <v>236</v>
      </c>
      <c r="G28" s="281"/>
      <c r="H28" s="282"/>
      <c r="I28" s="76"/>
      <c r="J28" s="77"/>
      <c r="K28" s="76">
        <f>SUM(L29:L40)</f>
        <v>1552005.38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320" t="s">
        <v>25</v>
      </c>
      <c r="G29" s="321"/>
      <c r="H29" s="322"/>
      <c r="I29" s="76"/>
      <c r="J29" s="77"/>
      <c r="K29" s="78"/>
      <c r="L29" s="164">
        <f>1212440.38+164090+175475</f>
        <v>1552005.38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323" t="s">
        <v>26</v>
      </c>
      <c r="G30" s="324"/>
      <c r="H30" s="325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323" t="s">
        <v>237</v>
      </c>
      <c r="G31" s="324"/>
      <c r="H31" s="325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323" t="s">
        <v>238</v>
      </c>
      <c r="G32" s="324"/>
      <c r="H32" s="325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323" t="s">
        <v>27</v>
      </c>
      <c r="G33" s="324"/>
      <c r="H33" s="325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323" t="s">
        <v>239</v>
      </c>
      <c r="G34" s="324"/>
      <c r="H34" s="325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323" t="s">
        <v>240</v>
      </c>
      <c r="G35" s="324"/>
      <c r="H35" s="325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323" t="s">
        <v>241</v>
      </c>
      <c r="G36" s="324"/>
      <c r="H36" s="325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323" t="s">
        <v>242</v>
      </c>
      <c r="G37" s="324"/>
      <c r="H37" s="325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323" t="s">
        <v>243</v>
      </c>
      <c r="G38" s="324"/>
      <c r="H38" s="325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323" t="s">
        <v>244</v>
      </c>
      <c r="G39" s="324"/>
      <c r="H39" s="325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323" t="s">
        <v>245</v>
      </c>
      <c r="G40" s="324"/>
      <c r="H40" s="325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80" t="s">
        <v>28</v>
      </c>
      <c r="G41" s="281"/>
      <c r="H41" s="282"/>
      <c r="I41" s="76"/>
      <c r="J41" s="77"/>
      <c r="K41" s="76">
        <f>SUM(L42:L51)</f>
        <v>21507631.620000001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323" t="s">
        <v>246</v>
      </c>
      <c r="G42" s="324"/>
      <c r="H42" s="325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323" t="s">
        <v>279</v>
      </c>
      <c r="G43" s="324"/>
      <c r="H43" s="325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323" t="s">
        <v>30</v>
      </c>
      <c r="G44" s="324"/>
      <c r="H44" s="325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323" t="s">
        <v>247</v>
      </c>
      <c r="G45" s="324"/>
      <c r="H45" s="325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323" t="s">
        <v>248</v>
      </c>
      <c r="G46" s="324"/>
      <c r="H46" s="325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323" t="s">
        <v>249</v>
      </c>
      <c r="G47" s="324"/>
      <c r="H47" s="325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323" t="s">
        <v>280</v>
      </c>
      <c r="G48" s="324"/>
      <c r="H48" s="325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323" t="s">
        <v>250</v>
      </c>
      <c r="G49" s="324"/>
      <c r="H49" s="325"/>
      <c r="I49" s="76"/>
      <c r="J49" s="77"/>
      <c r="K49" s="78"/>
      <c r="L49" s="164">
        <f>20449334.42+1058297.2</f>
        <v>21507631.620000001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323" t="s">
        <v>251</v>
      </c>
      <c r="G50" s="324"/>
      <c r="H50" s="325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323" t="s">
        <v>252</v>
      </c>
      <c r="G51" s="324"/>
      <c r="H51" s="325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80" t="s">
        <v>253</v>
      </c>
      <c r="G52" s="281"/>
      <c r="H52" s="282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323" t="s">
        <v>253</v>
      </c>
      <c r="G53" s="324"/>
      <c r="H53" s="325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80" t="s">
        <v>31</v>
      </c>
      <c r="G54" s="281"/>
      <c r="H54" s="282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323" t="s">
        <v>31</v>
      </c>
      <c r="G55" s="324"/>
      <c r="H55" s="325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80" t="s">
        <v>254</v>
      </c>
      <c r="G56" s="281"/>
      <c r="H56" s="282"/>
      <c r="I56" s="76"/>
      <c r="J56" s="77"/>
      <c r="K56" s="76">
        <f>SUM(L57:L60)</f>
        <v>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320" t="s">
        <v>254</v>
      </c>
      <c r="G57" s="321"/>
      <c r="H57" s="322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323" t="s">
        <v>255</v>
      </c>
      <c r="G58" s="324"/>
      <c r="H58" s="325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323" t="s">
        <v>32</v>
      </c>
      <c r="G59" s="324"/>
      <c r="H59" s="325"/>
      <c r="I59" s="76"/>
      <c r="J59" s="77"/>
      <c r="K59" s="78"/>
      <c r="L59" s="164"/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323" t="s">
        <v>256</v>
      </c>
      <c r="G60" s="324"/>
      <c r="H60" s="325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80" t="s">
        <v>33</v>
      </c>
      <c r="G61" s="281"/>
      <c r="H61" s="282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323" t="s">
        <v>33</v>
      </c>
      <c r="G62" s="324"/>
      <c r="H62" s="325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80" t="s">
        <v>34</v>
      </c>
      <c r="G63" s="281"/>
      <c r="H63" s="282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80" t="s">
        <v>35</v>
      </c>
      <c r="G64" s="281"/>
      <c r="H64" s="282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323" t="s">
        <v>36</v>
      </c>
      <c r="G65" s="324"/>
      <c r="H65" s="325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326" t="s">
        <v>37</v>
      </c>
      <c r="G66" s="327"/>
      <c r="H66" s="328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323" t="s">
        <v>38</v>
      </c>
      <c r="G67" s="324"/>
      <c r="H67" s="325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323" t="s">
        <v>281</v>
      </c>
      <c r="G68" s="324"/>
      <c r="H68" s="325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323" t="s">
        <v>257</v>
      </c>
      <c r="G69" s="324"/>
      <c r="H69" s="325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323" t="s">
        <v>39</v>
      </c>
      <c r="G70" s="324"/>
      <c r="H70" s="325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323" t="s">
        <v>40</v>
      </c>
      <c r="G71" s="324"/>
      <c r="H71" s="325"/>
      <c r="I71" s="85"/>
      <c r="J71" s="86"/>
      <c r="K71" s="85"/>
      <c r="L71" s="164"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323" t="s">
        <v>258</v>
      </c>
      <c r="G72" s="324"/>
      <c r="H72" s="325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323" t="s">
        <v>259</v>
      </c>
      <c r="G73" s="324"/>
      <c r="H73" s="325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323" t="s">
        <v>260</v>
      </c>
      <c r="G74" s="324"/>
      <c r="H74" s="325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323" t="s">
        <v>261</v>
      </c>
      <c r="G75" s="324"/>
      <c r="H75" s="325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323" t="s">
        <v>262</v>
      </c>
      <c r="G76" s="324"/>
      <c r="H76" s="325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323" t="s">
        <v>263</v>
      </c>
      <c r="G77" s="324"/>
      <c r="H77" s="325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323" t="s">
        <v>264</v>
      </c>
      <c r="G78" s="324"/>
      <c r="H78" s="325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323" t="s">
        <v>265</v>
      </c>
      <c r="G79" s="324"/>
      <c r="H79" s="325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323" t="s">
        <v>266</v>
      </c>
      <c r="G80" s="324"/>
      <c r="H80" s="325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323" t="s">
        <v>267</v>
      </c>
      <c r="G81" s="324"/>
      <c r="H81" s="325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80" t="s">
        <v>41</v>
      </c>
      <c r="G82" s="281"/>
      <c r="H82" s="282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320" t="s">
        <v>41</v>
      </c>
      <c r="G83" s="321"/>
      <c r="H83" s="322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80" t="s">
        <v>42</v>
      </c>
      <c r="G84" s="281"/>
      <c r="H84" s="282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80" t="s">
        <v>43</v>
      </c>
      <c r="G85" s="281"/>
      <c r="H85" s="282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320" t="s">
        <v>44</v>
      </c>
      <c r="G86" s="321"/>
      <c r="H86" s="322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320" t="s">
        <v>268</v>
      </c>
      <c r="G87" s="321"/>
      <c r="H87" s="322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80" t="s">
        <v>269</v>
      </c>
      <c r="G88" s="281"/>
      <c r="H88" s="282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320" t="s">
        <v>270</v>
      </c>
      <c r="G89" s="321"/>
      <c r="H89" s="322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320" t="s">
        <v>271</v>
      </c>
      <c r="G90" s="321"/>
      <c r="H90" s="322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80" t="s">
        <v>45</v>
      </c>
      <c r="G91" s="281"/>
      <c r="H91" s="282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80" t="s">
        <v>46</v>
      </c>
      <c r="G92" s="281"/>
      <c r="H92" s="282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320" t="s">
        <v>46</v>
      </c>
      <c r="G93" s="321"/>
      <c r="H93" s="322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80" t="s">
        <v>272</v>
      </c>
      <c r="G94" s="281"/>
      <c r="H94" s="282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320" t="s">
        <v>273</v>
      </c>
      <c r="G95" s="321"/>
      <c r="H95" s="322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320" t="s">
        <v>274</v>
      </c>
      <c r="G96" s="321"/>
      <c r="H96" s="322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320" t="s">
        <v>275</v>
      </c>
      <c r="G97" s="321"/>
      <c r="H97" s="322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320" t="s">
        <v>276</v>
      </c>
      <c r="G98" s="321"/>
      <c r="H98" s="322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80" t="s">
        <v>47</v>
      </c>
      <c r="G99" s="281"/>
      <c r="H99" s="282"/>
      <c r="I99" s="85"/>
      <c r="J99" s="86">
        <f>K100</f>
        <v>3538193.8600000003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80" t="s">
        <v>48</v>
      </c>
      <c r="G100" s="281"/>
      <c r="H100" s="282"/>
      <c r="I100" s="85"/>
      <c r="J100" s="86"/>
      <c r="K100" s="85">
        <f>SUM(L101:L104)</f>
        <v>3538193.8600000003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320" t="s">
        <v>49</v>
      </c>
      <c r="G101" s="321"/>
      <c r="H101" s="322"/>
      <c r="I101" s="85"/>
      <c r="J101" s="86"/>
      <c r="K101" s="85"/>
      <c r="L101" s="164">
        <f>85962.13+11634+12441.2+1449858.66+75033.53</f>
        <v>1634929.52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320" t="s">
        <v>50</v>
      </c>
      <c r="G102" s="321"/>
      <c r="H102" s="322"/>
      <c r="I102" s="85"/>
      <c r="J102" s="86"/>
      <c r="K102" s="85"/>
      <c r="L102" s="164">
        <f>86083.45+11650.44+12458.78+1451902.95+75139.27</f>
        <v>1637234.89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320" t="s">
        <v>51</v>
      </c>
      <c r="G103" s="321"/>
      <c r="H103" s="322"/>
      <c r="I103" s="85"/>
      <c r="J103" s="86"/>
      <c r="K103" s="85"/>
      <c r="L103" s="164">
        <f>14549.29+1969.08+2105.7+234706.12+12699.26</f>
        <v>266029.45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320" t="s">
        <v>277</v>
      </c>
      <c r="G104" s="321"/>
      <c r="H104" s="322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308" t="s">
        <v>52</v>
      </c>
      <c r="G105" s="309"/>
      <c r="H105" s="310"/>
      <c r="I105" s="52">
        <f>J106+J115+J119+J123+J130+J141+J148+J166+J190</f>
        <v>2874023.59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80" t="s">
        <v>53</v>
      </c>
      <c r="G106" s="281"/>
      <c r="H106" s="282"/>
      <c r="I106" s="52"/>
      <c r="J106" s="52">
        <f>K107</f>
        <v>721197.22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80" t="s">
        <v>54</v>
      </c>
      <c r="G107" s="281"/>
      <c r="H107" s="282"/>
      <c r="I107" s="52"/>
      <c r="J107" s="52"/>
      <c r="K107" s="52">
        <f>SUM(L108:L114)</f>
        <v>721197.22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277" t="s">
        <v>282</v>
      </c>
      <c r="G108" s="278"/>
      <c r="H108" s="279"/>
      <c r="I108" s="52"/>
      <c r="J108" s="52"/>
      <c r="K108" s="52"/>
      <c r="L108" s="166">
        <f>275861.9</f>
        <v>275861.90000000002</v>
      </c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277" t="s">
        <v>55</v>
      </c>
      <c r="G109" s="278"/>
      <c r="H109" s="279"/>
      <c r="I109" s="52"/>
      <c r="J109" s="52"/>
      <c r="K109" s="52"/>
      <c r="L109" s="166">
        <v>8422.1</v>
      </c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277" t="s">
        <v>56</v>
      </c>
      <c r="G110" s="278"/>
      <c r="H110" s="279"/>
      <c r="I110" s="52"/>
      <c r="J110" s="52"/>
      <c r="K110" s="52"/>
      <c r="L110" s="166">
        <f>383158.7+53754.52</f>
        <v>436913.22000000003</v>
      </c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277" t="s">
        <v>57</v>
      </c>
      <c r="G111" s="278"/>
      <c r="H111" s="279"/>
      <c r="I111" s="52"/>
      <c r="J111" s="52"/>
      <c r="K111" s="52"/>
      <c r="L111" s="166"/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277" t="s">
        <v>58</v>
      </c>
      <c r="G112" s="278"/>
      <c r="H112" s="279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277" t="s">
        <v>59</v>
      </c>
      <c r="G113" s="278"/>
      <c r="H113" s="279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277" t="s">
        <v>60</v>
      </c>
      <c r="G114" s="278"/>
      <c r="H114" s="279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80" t="s">
        <v>61</v>
      </c>
      <c r="G115" s="281"/>
      <c r="H115" s="282"/>
      <c r="I115" s="52"/>
      <c r="J115" s="52">
        <f>K116</f>
        <v>149491.41999999998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80" t="s">
        <v>62</v>
      </c>
      <c r="G116" s="281"/>
      <c r="H116" s="282"/>
      <c r="I116" s="52"/>
      <c r="J116" s="52"/>
      <c r="K116" s="52">
        <f>SUM(L117:L118)</f>
        <v>149491.41999999998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277" t="s">
        <v>62</v>
      </c>
      <c r="G117" s="278"/>
      <c r="H117" s="279"/>
      <c r="I117" s="52"/>
      <c r="J117" s="52"/>
      <c r="K117" s="52"/>
      <c r="L117" s="166">
        <f>6101.69+12203.38+10677.96+12203.38+12203.38+10677.96+9152.54+30508.45+7627.1+22881.34+15254.24</f>
        <v>149491.41999999998</v>
      </c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277" t="s">
        <v>63</v>
      </c>
      <c r="G118" s="278"/>
      <c r="H118" s="279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80" t="s">
        <v>64</v>
      </c>
      <c r="G119" s="281"/>
      <c r="H119" s="282"/>
      <c r="I119" s="52"/>
      <c r="J119" s="52">
        <f>K120</f>
        <v>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80" t="s">
        <v>65</v>
      </c>
      <c r="G120" s="281"/>
      <c r="H120" s="282"/>
      <c r="I120" s="52"/>
      <c r="J120" s="52"/>
      <c r="K120" s="52">
        <f>SUM(L121:L122)</f>
        <v>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277" t="s">
        <v>65</v>
      </c>
      <c r="G121" s="278"/>
      <c r="H121" s="279"/>
      <c r="I121" s="52"/>
      <c r="J121" s="52"/>
      <c r="K121" s="52"/>
      <c r="L121" s="164"/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277" t="s">
        <v>66</v>
      </c>
      <c r="G122" s="278"/>
      <c r="H122" s="279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80" t="s">
        <v>67</v>
      </c>
      <c r="G123" s="281"/>
      <c r="H123" s="282"/>
      <c r="I123" s="52"/>
      <c r="J123" s="52">
        <f>K124</f>
        <v>527250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80" t="s">
        <v>68</v>
      </c>
      <c r="G124" s="281"/>
      <c r="H124" s="282"/>
      <c r="I124" s="52"/>
      <c r="J124" s="52"/>
      <c r="K124" s="52">
        <f>SUM(L125:L129)</f>
        <v>527250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277" t="s">
        <v>68</v>
      </c>
      <c r="G125" s="278"/>
      <c r="H125" s="279"/>
      <c r="I125" s="52"/>
      <c r="J125" s="52"/>
      <c r="K125" s="52"/>
      <c r="L125" s="166">
        <f>175750+351500</f>
        <v>527250</v>
      </c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277" t="s">
        <v>69</v>
      </c>
      <c r="G126" s="278"/>
      <c r="H126" s="279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277" t="s">
        <v>70</v>
      </c>
      <c r="G127" s="278"/>
      <c r="H127" s="279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277" t="s">
        <v>283</v>
      </c>
      <c r="G128" s="278"/>
      <c r="H128" s="279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277" t="s">
        <v>71</v>
      </c>
      <c r="G129" s="278"/>
      <c r="H129" s="279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80" t="s">
        <v>72</v>
      </c>
      <c r="G130" s="281"/>
      <c r="H130" s="282"/>
      <c r="I130" s="52"/>
      <c r="J130" s="52">
        <f>K131</f>
        <v>984540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80" t="s">
        <v>73</v>
      </c>
      <c r="G131" s="281"/>
      <c r="H131" s="282"/>
      <c r="I131" s="52"/>
      <c r="J131" s="52"/>
      <c r="K131" s="52">
        <f>SUM(L132:L140)</f>
        <v>984540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277" t="s">
        <v>73</v>
      </c>
      <c r="G132" s="278"/>
      <c r="H132" s="279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277" t="s">
        <v>74</v>
      </c>
      <c r="G133" s="278"/>
      <c r="H133" s="279"/>
      <c r="I133" s="52"/>
      <c r="J133" s="52"/>
      <c r="K133" s="52"/>
      <c r="L133" s="166">
        <f>328180+656360</f>
        <v>984540</v>
      </c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277" t="s">
        <v>75</v>
      </c>
      <c r="G134" s="278"/>
      <c r="H134" s="279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277" t="s">
        <v>76</v>
      </c>
      <c r="G135" s="278"/>
      <c r="H135" s="279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277" t="s">
        <v>77</v>
      </c>
      <c r="G136" s="278"/>
      <c r="H136" s="279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277" t="s">
        <v>78</v>
      </c>
      <c r="G137" s="278"/>
      <c r="H137" s="279"/>
      <c r="I137" s="52"/>
      <c r="J137" s="52"/>
      <c r="K137" s="52"/>
      <c r="L137" s="166"/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277" t="s">
        <v>284</v>
      </c>
      <c r="G138" s="278"/>
      <c r="H138" s="279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277" t="s">
        <v>79</v>
      </c>
      <c r="G139" s="278"/>
      <c r="H139" s="279"/>
      <c r="I139" s="52"/>
      <c r="J139" s="52"/>
      <c r="K139" s="52"/>
      <c r="L139" s="166"/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277" t="s">
        <v>80</v>
      </c>
      <c r="G140" s="278"/>
      <c r="H140" s="279"/>
      <c r="I140" s="52"/>
      <c r="J140" s="52"/>
      <c r="K140" s="52"/>
      <c r="L140" s="166"/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80" t="s">
        <v>81</v>
      </c>
      <c r="G141" s="281"/>
      <c r="H141" s="282"/>
      <c r="I141" s="52"/>
      <c r="J141" s="52">
        <f>K142</f>
        <v>20094.14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80" t="s">
        <v>82</v>
      </c>
      <c r="G142" s="281"/>
      <c r="H142" s="282"/>
      <c r="I142" s="52"/>
      <c r="J142" s="52"/>
      <c r="K142" s="52">
        <f>SUM(L143:L147)</f>
        <v>20094.14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277" t="s">
        <v>83</v>
      </c>
      <c r="G143" s="278"/>
      <c r="H143" s="279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277" t="s">
        <v>84</v>
      </c>
      <c r="G144" s="278"/>
      <c r="H144" s="279"/>
      <c r="I144" s="52"/>
      <c r="J144" s="52"/>
      <c r="K144" s="52"/>
      <c r="L144" s="166">
        <f>20094.14</f>
        <v>20094.14</v>
      </c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277" t="s">
        <v>85</v>
      </c>
      <c r="G145" s="278"/>
      <c r="H145" s="279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277" t="s">
        <v>86</v>
      </c>
      <c r="G146" s="278"/>
      <c r="H146" s="279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277" t="s">
        <v>87</v>
      </c>
      <c r="G147" s="278"/>
      <c r="H147" s="279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80" t="s">
        <v>88</v>
      </c>
      <c r="G148" s="281"/>
      <c r="H148" s="282"/>
      <c r="I148" s="52"/>
      <c r="J148" s="52">
        <f>K149+K157</f>
        <v>112146.84999999999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80" t="s">
        <v>89</v>
      </c>
      <c r="G149" s="281"/>
      <c r="H149" s="282"/>
      <c r="I149" s="52"/>
      <c r="J149" s="52"/>
      <c r="K149" s="52">
        <f>SUM(L150:L156)</f>
        <v>0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277" t="s">
        <v>90</v>
      </c>
      <c r="G150" s="278"/>
      <c r="H150" s="279"/>
      <c r="I150" s="52"/>
      <c r="J150" s="52"/>
      <c r="K150" s="52"/>
      <c r="L150" s="166"/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277" t="s">
        <v>91</v>
      </c>
      <c r="G151" s="278"/>
      <c r="H151" s="279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277" t="s">
        <v>92</v>
      </c>
      <c r="G152" s="278"/>
      <c r="H152" s="279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277" t="s">
        <v>285</v>
      </c>
      <c r="G153" s="278"/>
      <c r="H153" s="279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277" t="s">
        <v>286</v>
      </c>
      <c r="G154" s="278"/>
      <c r="H154" s="279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277" t="s">
        <v>93</v>
      </c>
      <c r="G155" s="278"/>
      <c r="H155" s="279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277" t="s">
        <v>94</v>
      </c>
      <c r="G156" s="278"/>
      <c r="H156" s="279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112146.84999999999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277" t="s">
        <v>96</v>
      </c>
      <c r="G158" s="278"/>
      <c r="H158" s="279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277" t="s">
        <v>97</v>
      </c>
      <c r="G159" s="278"/>
      <c r="H159" s="279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277" t="s">
        <v>98</v>
      </c>
      <c r="G160" s="278"/>
      <c r="H160" s="279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277" t="s">
        <v>99</v>
      </c>
      <c r="G161" s="278"/>
      <c r="H161" s="279"/>
      <c r="I161" s="52"/>
      <c r="J161" s="52"/>
      <c r="K161" s="52"/>
      <c r="L161" s="166">
        <f>94216.48</f>
        <v>94216.48</v>
      </c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277" t="s">
        <v>100</v>
      </c>
      <c r="G162" s="278"/>
      <c r="H162" s="279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277" t="s">
        <v>101</v>
      </c>
      <c r="G163" s="278"/>
      <c r="H163" s="279"/>
      <c r="I163" s="52"/>
      <c r="J163" s="52"/>
      <c r="K163" s="52"/>
      <c r="L163" s="166">
        <f>17930.37</f>
        <v>17930.37</v>
      </c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277" t="s">
        <v>287</v>
      </c>
      <c r="G164" s="278"/>
      <c r="H164" s="279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277" t="s">
        <v>288</v>
      </c>
      <c r="G165" s="278"/>
      <c r="H165" s="279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80" t="s">
        <v>102</v>
      </c>
      <c r="G166" s="281"/>
      <c r="H166" s="282"/>
      <c r="I166" s="52"/>
      <c r="J166" s="52">
        <f>K166+K171+K175+K180+K187</f>
        <v>359303.96</v>
      </c>
      <c r="K166" s="52">
        <f>SUM(L167:L170)</f>
        <v>0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277" t="s">
        <v>103</v>
      </c>
      <c r="G167" s="278"/>
      <c r="H167" s="279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277" t="s">
        <v>104</v>
      </c>
      <c r="G168" s="278"/>
      <c r="H168" s="279"/>
      <c r="I168" s="52"/>
      <c r="J168" s="52"/>
      <c r="K168" s="52"/>
      <c r="L168" s="264"/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80" t="s">
        <v>105</v>
      </c>
      <c r="G169" s="281"/>
      <c r="H169" s="282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277" t="s">
        <v>106</v>
      </c>
      <c r="G170" s="278"/>
      <c r="H170" s="279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80" t="s">
        <v>289</v>
      </c>
      <c r="G171" s="281"/>
      <c r="H171" s="282"/>
      <c r="I171" s="52"/>
      <c r="J171" s="52"/>
      <c r="K171" s="52">
        <f>SUM(L172:L174)</f>
        <v>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277" t="s">
        <v>290</v>
      </c>
      <c r="G172" s="278"/>
      <c r="H172" s="279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277" t="s">
        <v>291</v>
      </c>
      <c r="G173" s="278"/>
      <c r="H173" s="279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277" t="s">
        <v>107</v>
      </c>
      <c r="G174" s="278"/>
      <c r="H174" s="279"/>
      <c r="I174" s="52"/>
      <c r="J174" s="52"/>
      <c r="K174" s="52"/>
      <c r="L174" s="166"/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80" t="s">
        <v>292</v>
      </c>
      <c r="G175" s="281"/>
      <c r="H175" s="282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277" t="s">
        <v>293</v>
      </c>
      <c r="G176" s="278"/>
      <c r="H176" s="279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277" t="s">
        <v>294</v>
      </c>
      <c r="G177" s="278"/>
      <c r="H177" s="279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277" t="s">
        <v>295</v>
      </c>
      <c r="G178" s="278"/>
      <c r="H178" s="279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311" t="s">
        <v>296</v>
      </c>
      <c r="G179" s="315"/>
      <c r="H179" s="312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80" t="s">
        <v>297</v>
      </c>
      <c r="G180" s="281"/>
      <c r="H180" s="282"/>
      <c r="I180" s="52"/>
      <c r="J180" s="52"/>
      <c r="K180" s="52">
        <f>SUM(L181:L186)</f>
        <v>22881.34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277" t="s">
        <v>108</v>
      </c>
      <c r="G181" s="278"/>
      <c r="H181" s="279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277" t="s">
        <v>109</v>
      </c>
      <c r="G182" s="278"/>
      <c r="H182" s="279"/>
      <c r="I182" s="52"/>
      <c r="J182" s="52"/>
      <c r="K182" s="52"/>
      <c r="L182" s="166">
        <f>22881.34</f>
        <v>22881.34</v>
      </c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277" t="s">
        <v>110</v>
      </c>
      <c r="G183" s="278"/>
      <c r="H183" s="279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277" t="s">
        <v>111</v>
      </c>
      <c r="G184" s="278"/>
      <c r="H184" s="279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277" t="s">
        <v>112</v>
      </c>
      <c r="G185" s="278"/>
      <c r="H185" s="279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277" t="s">
        <v>113</v>
      </c>
      <c r="G186" s="278"/>
      <c r="H186" s="279"/>
      <c r="I186" s="52"/>
      <c r="J186" s="52"/>
      <c r="K186" s="52"/>
      <c r="L186" s="244"/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317" t="s">
        <v>114</v>
      </c>
      <c r="G187" s="318"/>
      <c r="H187" s="319"/>
      <c r="I187" s="52"/>
      <c r="J187" s="52"/>
      <c r="K187" s="52">
        <f>SUM(L187:L189)</f>
        <v>336422.62</v>
      </c>
      <c r="L187" s="254">
        <f>1898.31+6944.92+25539.58+20925+9250+8350+16800+21450+18500+905.14+51894.34+799.65+4126.57+7118.66+2150.18+3796.62+3322.04+3796.62+3796.62+31720+63440+3322.04+2847.46+9491.55+2372.9+7118.66+4745.76</f>
        <v>336422.62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277" t="s">
        <v>115</v>
      </c>
      <c r="G188" s="278"/>
      <c r="H188" s="279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277" t="s">
        <v>298</v>
      </c>
      <c r="G189" s="278"/>
      <c r="H189" s="279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80" t="s">
        <v>299</v>
      </c>
      <c r="G190" s="281"/>
      <c r="H190" s="282"/>
      <c r="I190" s="52"/>
      <c r="J190" s="52">
        <f>K191+K194</f>
        <v>0</v>
      </c>
      <c r="K190" s="52"/>
      <c r="L190" s="166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80" t="s">
        <v>300</v>
      </c>
      <c r="G191" s="281"/>
      <c r="H191" s="282"/>
      <c r="I191" s="52"/>
      <c r="J191" s="52"/>
      <c r="K191" s="52">
        <f>L192</f>
        <v>0</v>
      </c>
      <c r="L191" s="166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277" t="s">
        <v>300</v>
      </c>
      <c r="G192" s="278"/>
      <c r="H192" s="279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80" t="s">
        <v>226</v>
      </c>
      <c r="G193" s="281"/>
      <c r="H193" s="282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277" t="s">
        <v>227</v>
      </c>
      <c r="G194" s="278"/>
      <c r="H194" s="279"/>
      <c r="I194" s="52"/>
      <c r="J194" s="52"/>
      <c r="K194" s="52">
        <f>L194+L195</f>
        <v>0</v>
      </c>
      <c r="L194" s="166"/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277" t="s">
        <v>228</v>
      </c>
      <c r="G195" s="278"/>
      <c r="H195" s="279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308" t="s">
        <v>301</v>
      </c>
      <c r="G196" s="309"/>
      <c r="H196" s="310"/>
      <c r="I196" s="52">
        <f>J197+J206+J212+J220+J224+J231+J251+J267</f>
        <v>2568912.5500000003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80" t="s">
        <v>302</v>
      </c>
      <c r="G197" s="281"/>
      <c r="H197" s="282"/>
      <c r="I197" s="52"/>
      <c r="J197" s="52">
        <f>K198</f>
        <v>0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80" t="s">
        <v>116</v>
      </c>
      <c r="G198" s="281"/>
      <c r="H198" s="282"/>
      <c r="I198" s="52"/>
      <c r="J198" s="52"/>
      <c r="K198" s="52">
        <f>SUM(L199:L205)</f>
        <v>0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277" t="s">
        <v>116</v>
      </c>
      <c r="G199" s="278"/>
      <c r="H199" s="279"/>
      <c r="I199" s="52"/>
      <c r="J199" s="52"/>
      <c r="K199" s="52"/>
      <c r="L199" s="166"/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277" t="s">
        <v>229</v>
      </c>
      <c r="G200" s="278"/>
      <c r="H200" s="279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277" t="s">
        <v>117</v>
      </c>
      <c r="G201" s="278"/>
      <c r="H201" s="279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277" t="s">
        <v>118</v>
      </c>
      <c r="G202" s="278"/>
      <c r="H202" s="279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277" t="s">
        <v>119</v>
      </c>
      <c r="G203" s="278"/>
      <c r="H203" s="279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277" t="s">
        <v>120</v>
      </c>
      <c r="G204" s="278"/>
      <c r="H204" s="279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277" t="s">
        <v>121</v>
      </c>
      <c r="G205" s="278"/>
      <c r="H205" s="279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80" t="s">
        <v>122</v>
      </c>
      <c r="G206" s="281"/>
      <c r="H206" s="282"/>
      <c r="I206" s="52"/>
      <c r="J206" s="52">
        <f>K207</f>
        <v>0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80" t="s">
        <v>123</v>
      </c>
      <c r="G207" s="281"/>
      <c r="H207" s="282"/>
      <c r="I207" s="52"/>
      <c r="J207" s="52"/>
      <c r="K207" s="52">
        <f>SUM(L208:L211)</f>
        <v>0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277" t="s">
        <v>123</v>
      </c>
      <c r="G208" s="278"/>
      <c r="H208" s="279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277" t="s">
        <v>124</v>
      </c>
      <c r="G209" s="278"/>
      <c r="H209" s="279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277" t="s">
        <v>303</v>
      </c>
      <c r="G210" s="278"/>
      <c r="H210" s="279"/>
      <c r="I210" s="52"/>
      <c r="J210" s="52"/>
      <c r="K210" s="52"/>
      <c r="L210" s="166"/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277" t="s">
        <v>125</v>
      </c>
      <c r="G211" s="278"/>
      <c r="H211" s="279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188710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80" t="s">
        <v>127</v>
      </c>
      <c r="G213" s="281"/>
      <c r="H213" s="282"/>
      <c r="I213" s="52"/>
      <c r="J213" s="52"/>
      <c r="K213" s="52">
        <f>SUM(L214:L219)</f>
        <v>188710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277" t="s">
        <v>128</v>
      </c>
      <c r="G214" s="278"/>
      <c r="H214" s="279"/>
      <c r="I214" s="52"/>
      <c r="J214" s="52"/>
      <c r="K214" s="52"/>
      <c r="L214" s="166">
        <f>188710</f>
        <v>188710</v>
      </c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277" t="s">
        <v>129</v>
      </c>
      <c r="G215" s="278"/>
      <c r="H215" s="279"/>
      <c r="I215" s="52"/>
      <c r="J215" s="52"/>
      <c r="K215" s="52"/>
      <c r="L215" s="166"/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277" t="s">
        <v>130</v>
      </c>
      <c r="G216" s="278"/>
      <c r="H216" s="279"/>
      <c r="I216" s="52"/>
      <c r="J216" s="52"/>
      <c r="K216" s="52"/>
      <c r="L216" s="166"/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277" t="s">
        <v>131</v>
      </c>
      <c r="G217" s="278"/>
      <c r="H217" s="279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277" t="s">
        <v>132</v>
      </c>
      <c r="G218" s="278"/>
      <c r="H218" s="279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277" t="s">
        <v>133</v>
      </c>
      <c r="G219" s="278"/>
      <c r="H219" s="279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1124325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80" t="s">
        <v>135</v>
      </c>
      <c r="G221" s="281"/>
      <c r="H221" s="282"/>
      <c r="I221" s="52"/>
      <c r="J221" s="52"/>
      <c r="K221" s="52">
        <f>SUM(L222:L223)</f>
        <v>1124325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277" t="s">
        <v>135</v>
      </c>
      <c r="G222" s="278"/>
      <c r="H222" s="279"/>
      <c r="I222" s="52"/>
      <c r="J222" s="52"/>
      <c r="K222" s="52"/>
      <c r="L222" s="166">
        <f>397575+319200+407550</f>
        <v>1124325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277" t="s">
        <v>136</v>
      </c>
      <c r="G223" s="278"/>
      <c r="H223" s="279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304</v>
      </c>
      <c r="G224" s="144"/>
      <c r="H224" s="144"/>
      <c r="I224" s="52"/>
      <c r="J224" s="52">
        <f>K225</f>
        <v>0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80" t="s">
        <v>137</v>
      </c>
      <c r="G225" s="281"/>
      <c r="H225" s="282"/>
      <c r="I225" s="52"/>
      <c r="J225" s="52"/>
      <c r="K225" s="52">
        <f>SUM(L226:L230)</f>
        <v>0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277" t="s">
        <v>137</v>
      </c>
      <c r="G226" s="278"/>
      <c r="H226" s="279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277" t="s">
        <v>138</v>
      </c>
      <c r="G227" s="278"/>
      <c r="H227" s="279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277" t="s">
        <v>139</v>
      </c>
      <c r="G228" s="278"/>
      <c r="H228" s="279"/>
      <c r="I228" s="52"/>
      <c r="J228" s="52"/>
      <c r="K228" s="52"/>
      <c r="L228" s="166"/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277" t="s">
        <v>140</v>
      </c>
      <c r="G229" s="278"/>
      <c r="H229" s="279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277" t="s">
        <v>141</v>
      </c>
      <c r="G230" s="278"/>
      <c r="H230" s="279"/>
      <c r="I230" s="52"/>
      <c r="J230" s="52"/>
      <c r="K230" s="52"/>
      <c r="L230" s="166"/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80" t="s">
        <v>305</v>
      </c>
      <c r="G231" s="281"/>
      <c r="H231" s="282"/>
      <c r="I231" s="52"/>
      <c r="J231" s="52">
        <f>K232+K238+K242+K247</f>
        <v>0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80" t="s">
        <v>142</v>
      </c>
      <c r="G232" s="281"/>
      <c r="H232" s="282"/>
      <c r="I232" s="52"/>
      <c r="J232" s="52"/>
      <c r="K232" s="52">
        <f>SUM(L233:L237)</f>
        <v>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277" t="s">
        <v>143</v>
      </c>
      <c r="G233" s="278"/>
      <c r="H233" s="279"/>
      <c r="I233" s="52"/>
      <c r="J233" s="52"/>
      <c r="K233" s="52"/>
      <c r="L233" s="166"/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277" t="s">
        <v>144</v>
      </c>
      <c r="G234" s="278"/>
      <c r="H234" s="279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277" t="s">
        <v>145</v>
      </c>
      <c r="G235" s="278"/>
      <c r="H235" s="279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277" t="s">
        <v>146</v>
      </c>
      <c r="G236" s="278"/>
      <c r="H236" s="279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277" t="s">
        <v>147</v>
      </c>
      <c r="G237" s="278"/>
      <c r="H237" s="279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277" t="s">
        <v>148</v>
      </c>
      <c r="G238" s="278"/>
      <c r="H238" s="279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277" t="s">
        <v>149</v>
      </c>
      <c r="G239" s="278"/>
      <c r="H239" s="279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277" t="s">
        <v>150</v>
      </c>
      <c r="G240" s="278"/>
      <c r="H240" s="279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80" t="s">
        <v>151</v>
      </c>
      <c r="G241" s="281"/>
      <c r="H241" s="282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277" t="s">
        <v>152</v>
      </c>
      <c r="G242" s="278"/>
      <c r="H242" s="279"/>
      <c r="I242" s="52"/>
      <c r="J242" s="52"/>
      <c r="K242" s="52">
        <f>SUM(L243:L246)</f>
        <v>0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277" t="s">
        <v>153</v>
      </c>
      <c r="G243" s="278"/>
      <c r="H243" s="279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277" t="s">
        <v>154</v>
      </c>
      <c r="G244" s="278"/>
      <c r="H244" s="279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277" t="s">
        <v>155</v>
      </c>
      <c r="G245" s="278"/>
      <c r="H245" s="279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277" t="s">
        <v>156</v>
      </c>
      <c r="G246" s="278"/>
      <c r="H246" s="279"/>
      <c r="I246" s="52"/>
      <c r="J246" s="52"/>
      <c r="K246" s="52"/>
      <c r="L246" s="166"/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80" t="s">
        <v>157</v>
      </c>
      <c r="G247" s="281"/>
      <c r="H247" s="282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277" t="s">
        <v>158</v>
      </c>
      <c r="G248" s="278"/>
      <c r="H248" s="279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277" t="s">
        <v>159</v>
      </c>
      <c r="G249" s="278"/>
      <c r="H249" s="279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277" t="s">
        <v>160</v>
      </c>
      <c r="G250" s="278"/>
      <c r="H250" s="279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80" t="s">
        <v>306</v>
      </c>
      <c r="G251" s="281"/>
      <c r="H251" s="282"/>
      <c r="I251" s="52"/>
      <c r="J251" s="52">
        <f>K252+K258</f>
        <v>1172812.1200000001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313" t="s">
        <v>161</v>
      </c>
      <c r="G252" s="316"/>
      <c r="H252" s="144"/>
      <c r="I252" s="55"/>
      <c r="J252" s="55"/>
      <c r="K252" s="55">
        <f>SUM(L253:L257)</f>
        <v>0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277" t="s">
        <v>162</v>
      </c>
      <c r="G253" s="278"/>
      <c r="H253" s="279"/>
      <c r="I253" s="52"/>
      <c r="J253" s="52"/>
      <c r="K253" s="52"/>
      <c r="L253" s="166"/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277" t="s">
        <v>163</v>
      </c>
      <c r="G254" s="278"/>
      <c r="H254" s="279"/>
      <c r="I254" s="52"/>
      <c r="J254" s="52"/>
      <c r="K254" s="52"/>
      <c r="L254" s="166"/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277" t="s">
        <v>164</v>
      </c>
      <c r="G255" s="278"/>
      <c r="H255" s="279"/>
      <c r="I255" s="52"/>
      <c r="J255" s="52"/>
      <c r="K255" s="52"/>
      <c r="L255" s="166"/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277" t="s">
        <v>165</v>
      </c>
      <c r="G256" s="278"/>
      <c r="H256" s="279"/>
      <c r="I256" s="52"/>
      <c r="J256" s="52"/>
      <c r="K256" s="52"/>
      <c r="L256" s="166"/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277" t="s">
        <v>166</v>
      </c>
      <c r="G257" s="278"/>
      <c r="H257" s="279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313" t="s">
        <v>167</v>
      </c>
      <c r="G258" s="316"/>
      <c r="H258" s="144"/>
      <c r="I258" s="52"/>
      <c r="J258" s="52"/>
      <c r="K258" s="52">
        <f>SUM(L259:L266)</f>
        <v>1172812.1200000001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277" t="s">
        <v>168</v>
      </c>
      <c r="G259" s="278"/>
      <c r="H259" s="279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277" t="s">
        <v>169</v>
      </c>
      <c r="G260" s="278"/>
      <c r="H260" s="279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277" t="s">
        <v>170</v>
      </c>
      <c r="G261" s="278"/>
      <c r="H261" s="279"/>
      <c r="I261" s="52"/>
      <c r="J261" s="52"/>
      <c r="K261" s="52"/>
      <c r="L261" s="166">
        <f>1172812.12</f>
        <v>1172812.1200000001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277" t="s">
        <v>171</v>
      </c>
      <c r="G262" s="278"/>
      <c r="H262" s="279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277" t="s">
        <v>172</v>
      </c>
      <c r="G263" s="278"/>
      <c r="H263" s="279"/>
      <c r="I263" s="52"/>
      <c r="J263" s="52"/>
      <c r="K263" s="52"/>
      <c r="L263" s="166"/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277" t="s">
        <v>173</v>
      </c>
      <c r="G264" s="278"/>
      <c r="H264" s="279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277" t="s">
        <v>307</v>
      </c>
      <c r="G265" s="278"/>
      <c r="H265" s="279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277" t="s">
        <v>308</v>
      </c>
      <c r="G266" s="278"/>
      <c r="H266" s="279"/>
      <c r="I266" s="52"/>
      <c r="J266" s="52"/>
      <c r="K266" s="52"/>
      <c r="L266" s="166"/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80" t="s">
        <v>309</v>
      </c>
      <c r="G267" s="281"/>
      <c r="H267" s="282"/>
      <c r="I267" s="52"/>
      <c r="J267" s="52">
        <f>K268</f>
        <v>83065.429999999993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313" t="s">
        <v>174</v>
      </c>
      <c r="G268" s="316"/>
      <c r="H268" s="144"/>
      <c r="I268" s="52"/>
      <c r="J268" s="52"/>
      <c r="K268" s="52">
        <f>SUM(L269:L276)</f>
        <v>83065.429999999993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277" t="s">
        <v>175</v>
      </c>
      <c r="G269" s="278"/>
      <c r="H269" s="279"/>
      <c r="I269" s="52"/>
      <c r="J269" s="52"/>
      <c r="K269" s="52"/>
      <c r="L269" s="166"/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277" t="s">
        <v>176</v>
      </c>
      <c r="G270" s="278"/>
      <c r="H270" s="279"/>
      <c r="I270" s="52"/>
      <c r="J270" s="52"/>
      <c r="K270" s="52"/>
      <c r="L270" s="166"/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277" t="s">
        <v>177</v>
      </c>
      <c r="G271" s="278"/>
      <c r="H271" s="279"/>
      <c r="I271" s="52"/>
      <c r="J271" s="52"/>
      <c r="K271" s="52"/>
      <c r="L271" s="166"/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277" t="s">
        <v>178</v>
      </c>
      <c r="G272" s="278"/>
      <c r="H272" s="279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277" t="s">
        <v>179</v>
      </c>
      <c r="G273" s="278"/>
      <c r="H273" s="279"/>
      <c r="I273" s="52"/>
      <c r="J273" s="52"/>
      <c r="K273" s="52"/>
      <c r="L273" s="166">
        <f>40938.56</f>
        <v>40938.559999999998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277" t="s">
        <v>180</v>
      </c>
      <c r="G274" s="278"/>
      <c r="H274" s="279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277" t="s">
        <v>181</v>
      </c>
      <c r="G275" s="278"/>
      <c r="H275" s="279"/>
      <c r="I275" s="52"/>
      <c r="J275" s="52"/>
      <c r="K275" s="52"/>
      <c r="L275" s="166">
        <f>42126.87</f>
        <v>42126.87</v>
      </c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311" t="s">
        <v>182</v>
      </c>
      <c r="G276" s="312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308" t="s">
        <v>310</v>
      </c>
      <c r="G277" s="309"/>
      <c r="H277" s="310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317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313" t="s">
        <v>318</v>
      </c>
      <c r="G279" s="314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311" t="s">
        <v>319</v>
      </c>
      <c r="G280" s="315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311" t="s">
        <v>320</v>
      </c>
      <c r="G281" s="315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311" t="s">
        <v>321</v>
      </c>
      <c r="G282" s="315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311" t="s">
        <v>322</v>
      </c>
      <c r="G283" s="315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311" t="s">
        <v>323</v>
      </c>
      <c r="G284" s="315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311" t="s">
        <v>324</v>
      </c>
      <c r="G285" s="315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311" t="s">
        <v>325</v>
      </c>
      <c r="G286" s="315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313" t="s">
        <v>326</v>
      </c>
      <c r="G287" s="314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311" t="s">
        <v>327</v>
      </c>
      <c r="G288" s="315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311" t="s">
        <v>328</v>
      </c>
      <c r="G289" s="315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311" t="s">
        <v>329</v>
      </c>
      <c r="G290" s="315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311" t="s">
        <v>330</v>
      </c>
      <c r="G291" s="315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311" t="s">
        <v>331</v>
      </c>
      <c r="G292" s="315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332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333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334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334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335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336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337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338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338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339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340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341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342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343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344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345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346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347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348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349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350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351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352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353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354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355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356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357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358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359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360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361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362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363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364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365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366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367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368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369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370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371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372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373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374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375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376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377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378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379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380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381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382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383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384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385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386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387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388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389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251">
        <v>2</v>
      </c>
      <c r="B353" s="251">
        <v>5</v>
      </c>
      <c r="C353" s="251">
        <v>9</v>
      </c>
      <c r="D353" s="251">
        <v>3</v>
      </c>
      <c r="E353" s="252">
        <v>0.1</v>
      </c>
      <c r="F353" s="253" t="s">
        <v>390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308" t="s">
        <v>183</v>
      </c>
      <c r="G354" s="309"/>
      <c r="H354" s="310"/>
      <c r="I354" s="52">
        <f>J355+J362+J367+J375+J371+J386+J387</f>
        <v>0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80" t="s">
        <v>184</v>
      </c>
      <c r="G355" s="281"/>
      <c r="H355" s="282"/>
      <c r="I355" s="52"/>
      <c r="J355" s="52">
        <f>K356</f>
        <v>0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80" t="s">
        <v>185</v>
      </c>
      <c r="G356" s="281"/>
      <c r="H356" s="282"/>
      <c r="I356" s="52"/>
      <c r="J356" s="52"/>
      <c r="K356" s="52">
        <f>SUM(L357:L361)</f>
        <v>0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277" t="s">
        <v>311</v>
      </c>
      <c r="G357" s="278"/>
      <c r="H357" s="279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277" t="s">
        <v>312</v>
      </c>
      <c r="G358" s="278"/>
      <c r="H358" s="279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277" t="s">
        <v>313</v>
      </c>
      <c r="G359" s="278"/>
      <c r="H359" s="279"/>
      <c r="I359" s="52"/>
      <c r="J359" s="52"/>
      <c r="K359" s="52"/>
      <c r="L359" s="166"/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277" t="s">
        <v>186</v>
      </c>
      <c r="G360" s="278"/>
      <c r="H360" s="279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277" t="s">
        <v>187</v>
      </c>
      <c r="G361" s="278"/>
      <c r="H361" s="279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80" t="s">
        <v>188</v>
      </c>
      <c r="G362" s="281"/>
      <c r="H362" s="282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80" t="s">
        <v>189</v>
      </c>
      <c r="G363" s="281"/>
      <c r="H363" s="282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277" t="s">
        <v>190</v>
      </c>
      <c r="G364" s="278"/>
      <c r="H364" s="279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277" t="s">
        <v>191</v>
      </c>
      <c r="G365" s="278"/>
      <c r="H365" s="279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277" t="s">
        <v>192</v>
      </c>
      <c r="G366" s="278"/>
      <c r="H366" s="279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80" t="s">
        <v>193</v>
      </c>
      <c r="G367" s="281"/>
      <c r="H367" s="282"/>
      <c r="I367" s="52"/>
      <c r="J367" s="52">
        <f>K368</f>
        <v>0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80" t="s">
        <v>194</v>
      </c>
      <c r="G368" s="281"/>
      <c r="H368" s="282"/>
      <c r="I368" s="52"/>
      <c r="J368" s="52"/>
      <c r="K368" s="52">
        <f>SUM(L369:L370)</f>
        <v>0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277" t="s">
        <v>194</v>
      </c>
      <c r="G369" s="278"/>
      <c r="H369" s="279"/>
      <c r="I369" s="52"/>
      <c r="J369" s="52"/>
      <c r="K369" s="52"/>
      <c r="L369" s="166"/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277" t="s">
        <v>195</v>
      </c>
      <c r="G370" s="278"/>
      <c r="H370" s="279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80" t="s">
        <v>314</v>
      </c>
      <c r="G371" s="281"/>
      <c r="H371" s="282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80" t="s">
        <v>196</v>
      </c>
      <c r="G372" s="281"/>
      <c r="H372" s="282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277" t="s">
        <v>196</v>
      </c>
      <c r="G373" s="278"/>
      <c r="H373" s="279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277" t="s">
        <v>197</v>
      </c>
      <c r="G374" s="278"/>
      <c r="H374" s="279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80" t="s">
        <v>198</v>
      </c>
      <c r="G375" s="281"/>
      <c r="H375" s="282"/>
      <c r="I375" s="56"/>
      <c r="J375" s="56">
        <f>SUM(K376:K378)</f>
        <v>0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80" t="s">
        <v>199</v>
      </c>
      <c r="G376" s="281"/>
      <c r="H376" s="282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277" t="s">
        <v>199</v>
      </c>
      <c r="G377" s="278"/>
      <c r="H377" s="279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80" t="s">
        <v>200</v>
      </c>
      <c r="G378" s="281"/>
      <c r="H378" s="282"/>
      <c r="I378" s="56"/>
      <c r="J378" s="56"/>
      <c r="K378" s="56">
        <f>SUM(L379:L384)</f>
        <v>0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277" t="s">
        <v>200</v>
      </c>
      <c r="G379" s="278"/>
      <c r="H379" s="279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277" t="s">
        <v>315</v>
      </c>
      <c r="G380" s="278"/>
      <c r="H380" s="279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277" t="s">
        <v>201</v>
      </c>
      <c r="G381" s="278"/>
      <c r="H381" s="279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277" t="s">
        <v>202</v>
      </c>
      <c r="G382" s="278"/>
      <c r="H382" s="279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277" t="s">
        <v>203</v>
      </c>
      <c r="G383" s="278"/>
      <c r="H383" s="279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277" t="s">
        <v>204</v>
      </c>
      <c r="G384" s="278"/>
      <c r="H384" s="279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80" t="s">
        <v>205</v>
      </c>
      <c r="G385" s="281"/>
      <c r="H385" s="282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277" t="s">
        <v>206</v>
      </c>
      <c r="G386" s="278"/>
      <c r="H386" s="279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80" t="s">
        <v>207</v>
      </c>
      <c r="G387" s="281"/>
      <c r="H387" s="282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80" t="s">
        <v>208</v>
      </c>
      <c r="G388" s="281"/>
      <c r="H388" s="282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277" t="s">
        <v>209</v>
      </c>
      <c r="G389" s="278"/>
      <c r="H389" s="279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80" t="s">
        <v>210</v>
      </c>
      <c r="G390" s="281"/>
      <c r="H390" s="282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277" t="s">
        <v>210</v>
      </c>
      <c r="G391" s="278"/>
      <c r="H391" s="279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80" t="s">
        <v>211</v>
      </c>
      <c r="G392" s="281"/>
      <c r="H392" s="282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277" t="s">
        <v>212</v>
      </c>
      <c r="G393" s="278"/>
      <c r="H393" s="279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277" t="s">
        <v>316</v>
      </c>
      <c r="G394" s="278"/>
      <c r="H394" s="279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516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517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518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518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519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519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520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520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521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521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522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522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523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524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524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525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525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526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526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527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527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528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529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529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530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530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531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531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532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532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533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533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534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535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535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536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536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537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538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539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540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541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542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543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544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545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546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547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548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549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550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551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552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553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554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555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556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557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558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559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560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561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562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563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564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565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566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567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568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569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570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571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572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573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574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575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576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577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578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579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580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581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582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583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584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585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586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587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588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589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590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591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592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593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593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594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594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595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596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597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597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598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599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599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600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601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602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602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603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603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604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605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606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607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608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609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610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611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612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612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613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613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299" t="s">
        <v>614</v>
      </c>
      <c r="B517" s="300"/>
      <c r="C517" s="300"/>
      <c r="D517" s="300"/>
      <c r="E517" s="300"/>
      <c r="F517" s="300"/>
      <c r="G517" s="300"/>
      <c r="H517" s="301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296" t="s">
        <v>391</v>
      </c>
      <c r="G518" s="297"/>
      <c r="H518" s="298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392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393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394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395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396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397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398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399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400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401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402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403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404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405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406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407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408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409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410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411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412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413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414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415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416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417</v>
      </c>
      <c r="F544" s="159" t="s">
        <v>418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419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420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421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422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423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424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425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426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427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428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429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430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431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432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433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434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435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436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437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438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439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440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441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442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443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444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445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446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447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448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449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450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451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452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453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454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455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456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457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458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459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460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461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462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463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464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465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466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467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468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469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470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471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472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473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474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475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476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477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478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479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480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481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482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483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484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485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486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487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488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489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490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491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492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493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494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495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496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497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498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499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500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501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502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503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504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495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505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506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507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507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508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508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508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509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510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510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511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511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511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512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512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513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514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515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515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515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515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290" t="s">
        <v>213</v>
      </c>
      <c r="G653" s="291"/>
      <c r="H653" s="292"/>
      <c r="I653" s="56">
        <f>L653</f>
        <v>0</v>
      </c>
      <c r="J653" s="56">
        <f>L653</f>
        <v>0</v>
      </c>
      <c r="K653" s="56">
        <f>L653</f>
        <v>0</v>
      </c>
      <c r="L653" s="166">
        <v>0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293" t="s">
        <v>214</v>
      </c>
      <c r="G654" s="294"/>
      <c r="H654" s="295"/>
      <c r="I654" s="29">
        <f>SUM(I26:I653)</f>
        <v>32083317</v>
      </c>
      <c r="J654" s="29">
        <f>SUM(J26:J653)</f>
        <v>32083317.000000004</v>
      </c>
      <c r="K654" s="29">
        <f>SUM(K26:K653)</f>
        <v>32083317.000000004</v>
      </c>
      <c r="L654" s="132">
        <f>SUM(L26:L653)</f>
        <v>32083317.000000004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45" customHeight="1" x14ac:dyDescent="0.25">
      <c r="A660" s="124"/>
      <c r="B660" s="124"/>
      <c r="C660" s="124"/>
      <c r="D660" s="124"/>
      <c r="E660" s="38"/>
      <c r="F660" s="302" t="s">
        <v>668</v>
      </c>
      <c r="G660" s="303"/>
      <c r="H660" s="303"/>
      <c r="I660" s="303"/>
      <c r="J660" s="39"/>
      <c r="K660" s="39"/>
      <c r="L660" s="134"/>
      <c r="M660" s="9"/>
    </row>
    <row r="661" spans="1:14" ht="95.25" customHeight="1" x14ac:dyDescent="0.25">
      <c r="A661" s="124"/>
      <c r="B661" s="124"/>
      <c r="C661" s="124"/>
      <c r="D661" s="124"/>
      <c r="E661" s="38"/>
      <c r="F661" s="283" t="s">
        <v>667</v>
      </c>
      <c r="G661" s="283"/>
      <c r="H661" s="283"/>
      <c r="I661" s="283"/>
      <c r="J661" s="223"/>
      <c r="K661" s="223"/>
      <c r="M661" s="9"/>
    </row>
    <row r="662" spans="1:14" ht="15" customHeight="1" x14ac:dyDescent="0.25">
      <c r="F662" s="284" t="s">
        <v>224</v>
      </c>
      <c r="G662" s="284"/>
      <c r="H662" s="284"/>
      <c r="I662" s="284"/>
      <c r="J662" s="224"/>
      <c r="K662" s="224"/>
      <c r="L662" s="224"/>
    </row>
    <row r="663" spans="1:14" ht="15" hidden="1" customHeight="1" x14ac:dyDescent="0.25">
      <c r="F663" s="285"/>
      <c r="G663" s="285"/>
      <c r="H663" s="285"/>
      <c r="I663" s="285"/>
      <c r="J663" s="182"/>
      <c r="K663" s="182"/>
      <c r="L663" s="135"/>
    </row>
    <row r="664" spans="1:14" ht="15" customHeight="1" x14ac:dyDescent="0.25">
      <c r="F664" s="286" t="s">
        <v>674</v>
      </c>
      <c r="G664" s="286"/>
      <c r="H664" s="286"/>
      <c r="I664" s="286"/>
      <c r="J664" s="204"/>
      <c r="K664" s="204"/>
      <c r="L664" s="204"/>
    </row>
    <row r="665" spans="1:14" ht="16.5" thickBot="1" x14ac:dyDescent="0.3">
      <c r="G665" s="204"/>
      <c r="H665" s="204"/>
      <c r="I665" s="199"/>
      <c r="J665" s="204"/>
      <c r="K665" s="204"/>
      <c r="L665" s="204"/>
    </row>
    <row r="666" spans="1:14" ht="17.25" customHeight="1" x14ac:dyDescent="0.25">
      <c r="F666" s="287" t="s">
        <v>235</v>
      </c>
      <c r="G666" s="288"/>
      <c r="H666" s="288"/>
      <c r="I666" s="289"/>
      <c r="L666" s="136"/>
    </row>
    <row r="667" spans="1:14" ht="15.75" customHeight="1" x14ac:dyDescent="0.25">
      <c r="F667" s="271" t="s">
        <v>649</v>
      </c>
      <c r="G667" s="272"/>
      <c r="H667" s="272"/>
      <c r="I667" s="273"/>
    </row>
    <row r="668" spans="1:14" ht="15.75" thickBot="1" x14ac:dyDescent="0.3">
      <c r="F668" s="274"/>
      <c r="G668" s="275"/>
      <c r="H668" s="275"/>
      <c r="I668" s="276"/>
    </row>
    <row r="669" spans="1:14" ht="15.75" customHeight="1" thickBot="1" x14ac:dyDescent="0.3">
      <c r="G669" s="199" t="s">
        <v>225</v>
      </c>
      <c r="H669" s="199"/>
      <c r="I669" s="199"/>
      <c r="K669" s="137"/>
    </row>
    <row r="670" spans="1:14" ht="20.25" thickBot="1" x14ac:dyDescent="0.45">
      <c r="F670" s="168" t="s">
        <v>219</v>
      </c>
      <c r="G670" s="200" t="s">
        <v>220</v>
      </c>
      <c r="I670" s="202" t="s">
        <v>221</v>
      </c>
    </row>
    <row r="671" spans="1:14" ht="20.25" thickBot="1" x14ac:dyDescent="0.45">
      <c r="F671" s="167"/>
      <c r="G671" s="201"/>
      <c r="I671" s="203"/>
    </row>
    <row r="672" spans="1:14" ht="16.5" thickBot="1" x14ac:dyDescent="0.3">
      <c r="F672" s="192" t="s">
        <v>222</v>
      </c>
      <c r="G672" s="214"/>
      <c r="I672" s="205">
        <v>497956.19</v>
      </c>
      <c r="N672" s="40"/>
    </row>
    <row r="673" spans="6:14" ht="15.75" x14ac:dyDescent="0.25">
      <c r="F673" s="193"/>
      <c r="G673" s="215"/>
      <c r="I673" s="206"/>
      <c r="N673" s="40"/>
    </row>
    <row r="674" spans="6:14" ht="15.75" x14ac:dyDescent="0.25">
      <c r="F674" s="187"/>
      <c r="G674" s="178"/>
      <c r="I674" s="183"/>
      <c r="N674" s="40"/>
    </row>
    <row r="675" spans="6:14" ht="15.75" x14ac:dyDescent="0.25">
      <c r="F675" s="188" t="s">
        <v>615</v>
      </c>
      <c r="G675" s="179"/>
      <c r="I675" s="184"/>
      <c r="N675" s="40"/>
    </row>
    <row r="676" spans="6:14" ht="15.75" x14ac:dyDescent="0.25">
      <c r="F676" s="189" t="s">
        <v>616</v>
      </c>
      <c r="G676" s="179">
        <v>12</v>
      </c>
      <c r="I676" s="184">
        <f>12*600</f>
        <v>7200</v>
      </c>
      <c r="N676" s="40"/>
    </row>
    <row r="677" spans="6:14" ht="15.75" x14ac:dyDescent="0.25">
      <c r="F677" s="189" t="s">
        <v>618</v>
      </c>
      <c r="G677" s="179">
        <v>8</v>
      </c>
      <c r="I677" s="184">
        <f>7*600+450</f>
        <v>4650</v>
      </c>
      <c r="N677" s="40"/>
    </row>
    <row r="678" spans="6:14" ht="15.75" x14ac:dyDescent="0.25">
      <c r="F678" s="189" t="s">
        <v>619</v>
      </c>
      <c r="G678" s="179">
        <v>3</v>
      </c>
      <c r="I678" s="184">
        <f>3*600</f>
        <v>1800</v>
      </c>
      <c r="N678" s="40"/>
    </row>
    <row r="679" spans="6:14" ht="15.75" x14ac:dyDescent="0.25">
      <c r="F679" s="189" t="s">
        <v>620</v>
      </c>
      <c r="G679" s="179">
        <v>5</v>
      </c>
      <c r="I679" s="184">
        <f>5*600</f>
        <v>3000</v>
      </c>
      <c r="N679" s="40"/>
    </row>
    <row r="680" spans="6:14" ht="15.75" x14ac:dyDescent="0.25">
      <c r="F680" s="189" t="s">
        <v>617</v>
      </c>
      <c r="G680" s="179">
        <v>20</v>
      </c>
      <c r="I680" s="184">
        <f>19*600+1*450</f>
        <v>11850</v>
      </c>
      <c r="N680" s="40"/>
    </row>
    <row r="681" spans="6:14" ht="15.75" x14ac:dyDescent="0.25">
      <c r="F681" s="189" t="s">
        <v>621</v>
      </c>
      <c r="G681" s="179">
        <v>1</v>
      </c>
      <c r="I681" s="184">
        <v>600</v>
      </c>
      <c r="N681" s="40"/>
    </row>
    <row r="682" spans="6:14" ht="15.75" x14ac:dyDescent="0.25">
      <c r="F682" s="189" t="s">
        <v>676</v>
      </c>
      <c r="G682" s="179">
        <v>1</v>
      </c>
      <c r="I682" s="184">
        <v>104</v>
      </c>
      <c r="N682" s="40"/>
    </row>
    <row r="683" spans="6:14" ht="15.75" x14ac:dyDescent="0.25">
      <c r="F683" s="189" t="s">
        <v>623</v>
      </c>
      <c r="G683" s="179">
        <v>2</v>
      </c>
      <c r="I683" s="184">
        <f>2*600</f>
        <v>1200</v>
      </c>
      <c r="N683" s="40"/>
    </row>
    <row r="684" spans="6:14" ht="15.75" x14ac:dyDescent="0.25">
      <c r="F684" s="189" t="s">
        <v>669</v>
      </c>
      <c r="G684" s="179">
        <v>8</v>
      </c>
      <c r="I684" s="184">
        <f>8*600</f>
        <v>4800</v>
      </c>
      <c r="N684" s="40"/>
    </row>
    <row r="685" spans="6:14" ht="15.75" x14ac:dyDescent="0.25">
      <c r="F685" s="189" t="s">
        <v>670</v>
      </c>
      <c r="G685" s="179">
        <v>2</v>
      </c>
      <c r="I685" s="184">
        <f>2*600</f>
        <v>1200</v>
      </c>
      <c r="N685" s="40"/>
    </row>
    <row r="686" spans="6:14" ht="15.75" x14ac:dyDescent="0.25">
      <c r="F686" s="189" t="s">
        <v>622</v>
      </c>
      <c r="G686" s="179">
        <v>1</v>
      </c>
      <c r="I686" s="184">
        <v>600</v>
      </c>
      <c r="N686" s="40"/>
    </row>
    <row r="687" spans="6:14" ht="15.75" x14ac:dyDescent="0.25">
      <c r="F687" s="189" t="s">
        <v>624</v>
      </c>
      <c r="G687" s="179">
        <v>2</v>
      </c>
      <c r="I687" s="184">
        <f>2*600</f>
        <v>1200</v>
      </c>
      <c r="N687" s="40"/>
    </row>
    <row r="688" spans="6:14" ht="15.75" x14ac:dyDescent="0.25">
      <c r="F688" s="189" t="s">
        <v>625</v>
      </c>
      <c r="G688" s="179">
        <v>4</v>
      </c>
      <c r="I688" s="184">
        <f>4*600</f>
        <v>2400</v>
      </c>
      <c r="N688" s="40"/>
    </row>
    <row r="689" spans="6:14" ht="15.75" x14ac:dyDescent="0.25">
      <c r="F689" s="189" t="s">
        <v>677</v>
      </c>
      <c r="G689" s="179">
        <v>1</v>
      </c>
      <c r="I689" s="184">
        <v>243</v>
      </c>
      <c r="N689" s="40"/>
    </row>
    <row r="690" spans="6:14" ht="15.75" x14ac:dyDescent="0.25">
      <c r="F690" s="189" t="s">
        <v>626</v>
      </c>
      <c r="G690" s="179">
        <v>6</v>
      </c>
      <c r="I690" s="184">
        <f>6*600</f>
        <v>3600</v>
      </c>
      <c r="N690" s="40"/>
    </row>
    <row r="691" spans="6:14" ht="15.75" x14ac:dyDescent="0.25">
      <c r="F691" s="190" t="s">
        <v>678</v>
      </c>
      <c r="G691" s="179">
        <v>1</v>
      </c>
      <c r="I691" s="184">
        <f>1*600</f>
        <v>600</v>
      </c>
      <c r="N691" s="40"/>
    </row>
    <row r="692" spans="6:14" ht="15.75" x14ac:dyDescent="0.25">
      <c r="F692" s="191" t="s">
        <v>656</v>
      </c>
      <c r="G692" s="179">
        <v>2</v>
      </c>
      <c r="I692" s="184">
        <f>2*600</f>
        <v>1200</v>
      </c>
      <c r="N692" s="40"/>
    </row>
    <row r="693" spans="6:14" ht="15.75" x14ac:dyDescent="0.25">
      <c r="F693" s="191" t="s">
        <v>679</v>
      </c>
      <c r="G693" s="179">
        <v>1</v>
      </c>
      <c r="I693" s="184">
        <v>700</v>
      </c>
      <c r="N693" s="40"/>
    </row>
    <row r="694" spans="6:14" ht="15.75" x14ac:dyDescent="0.25">
      <c r="F694" s="191" t="s">
        <v>671</v>
      </c>
      <c r="G694" s="179">
        <v>3</v>
      </c>
      <c r="I694" s="184">
        <f>3*600</f>
        <v>1800</v>
      </c>
      <c r="N694" s="40"/>
    </row>
    <row r="695" spans="6:14" ht="15.75" x14ac:dyDescent="0.25">
      <c r="F695" s="190" t="s">
        <v>627</v>
      </c>
      <c r="G695" s="181"/>
      <c r="I695" s="183">
        <f>I676+I677+I678+I679+I680+I681+I682+I683+I684+I685+I686+I687+I688+I690+I691+I692+I693+I694+I689</f>
        <v>48747</v>
      </c>
      <c r="N695" s="40"/>
    </row>
    <row r="696" spans="6:14" ht="15.75" x14ac:dyDescent="0.25">
      <c r="F696" s="191"/>
      <c r="G696" s="180"/>
      <c r="I696" s="185"/>
      <c r="N696" s="40"/>
    </row>
    <row r="697" spans="6:14" ht="15.75" x14ac:dyDescent="0.25">
      <c r="F697" s="191" t="s">
        <v>628</v>
      </c>
      <c r="G697" s="181"/>
      <c r="I697" s="186"/>
      <c r="N697" s="40"/>
    </row>
    <row r="698" spans="6:14" ht="15.75" x14ac:dyDescent="0.25">
      <c r="F698" s="191" t="s">
        <v>680</v>
      </c>
      <c r="G698" s="181">
        <v>2</v>
      </c>
      <c r="I698" s="186">
        <f>2*700</f>
        <v>1400</v>
      </c>
      <c r="N698" s="40"/>
    </row>
    <row r="699" spans="6:14" ht="15.75" x14ac:dyDescent="0.25">
      <c r="F699" s="191" t="s">
        <v>627</v>
      </c>
      <c r="G699" s="181"/>
      <c r="I699" s="185">
        <f>SUM(I698)</f>
        <v>1400</v>
      </c>
      <c r="N699" s="40"/>
    </row>
    <row r="700" spans="6:14" ht="15.75" x14ac:dyDescent="0.25">
      <c r="F700" s="190"/>
      <c r="G700" s="180"/>
      <c r="I700" s="185"/>
      <c r="N700" s="40"/>
    </row>
    <row r="701" spans="6:14" ht="15.75" x14ac:dyDescent="0.25">
      <c r="F701" s="190"/>
      <c r="G701" s="180"/>
      <c r="I701" s="185"/>
      <c r="N701" s="40"/>
    </row>
    <row r="702" spans="6:14" ht="15.75" x14ac:dyDescent="0.25">
      <c r="F702" s="191" t="s">
        <v>629</v>
      </c>
      <c r="G702" s="180"/>
      <c r="I702" s="185"/>
      <c r="N702" s="40"/>
    </row>
    <row r="703" spans="6:14" ht="16.5" thickBot="1" x14ac:dyDescent="0.3">
      <c r="F703" s="194" t="s">
        <v>661</v>
      </c>
      <c r="G703" s="181">
        <v>1</v>
      </c>
      <c r="I703" s="186">
        <v>1187.95</v>
      </c>
      <c r="N703" s="40"/>
    </row>
    <row r="704" spans="6:14" ht="16.5" thickBot="1" x14ac:dyDescent="0.3">
      <c r="F704" s="195" t="s">
        <v>630</v>
      </c>
      <c r="G704" s="181">
        <v>5</v>
      </c>
      <c r="I704" s="186">
        <f>1200+1380+1320+1187.95+2375.9</f>
        <v>7463.85</v>
      </c>
      <c r="N704" s="40"/>
    </row>
    <row r="705" spans="6:14" ht="15.75" x14ac:dyDescent="0.25">
      <c r="F705" s="196" t="s">
        <v>627</v>
      </c>
      <c r="G705" s="180"/>
      <c r="I705" s="183">
        <f>I703+I704</f>
        <v>8651.8000000000011</v>
      </c>
      <c r="N705" s="40"/>
    </row>
    <row r="706" spans="6:14" ht="16.5" thickBot="1" x14ac:dyDescent="0.3">
      <c r="F706" s="191"/>
      <c r="G706" s="216"/>
      <c r="I706" s="207"/>
      <c r="N706" s="40"/>
    </row>
    <row r="707" spans="6:14" ht="16.5" thickBot="1" x14ac:dyDescent="0.3">
      <c r="F707" s="191" t="s">
        <v>631</v>
      </c>
      <c r="G707" s="217"/>
      <c r="I707" s="208">
        <f>I695+I699+I705</f>
        <v>58798.8</v>
      </c>
      <c r="N707" s="40"/>
    </row>
    <row r="708" spans="6:14" ht="15.75" x14ac:dyDescent="0.25">
      <c r="F708" s="189"/>
      <c r="G708" s="218"/>
      <c r="I708" s="206"/>
      <c r="N708" s="40"/>
    </row>
    <row r="709" spans="6:14" ht="15.75" x14ac:dyDescent="0.25">
      <c r="F709" s="189" t="s">
        <v>29</v>
      </c>
      <c r="G709" s="180"/>
      <c r="I709" s="183"/>
      <c r="N709" s="40"/>
    </row>
    <row r="710" spans="6:14" ht="15.75" x14ac:dyDescent="0.25">
      <c r="F710" s="189" t="s">
        <v>632</v>
      </c>
      <c r="G710" s="180"/>
      <c r="I710" s="183"/>
      <c r="N710" s="40"/>
    </row>
    <row r="711" spans="6:14" ht="15.75" x14ac:dyDescent="0.25">
      <c r="F711" s="189" t="s">
        <v>633</v>
      </c>
      <c r="G711" s="179">
        <v>4</v>
      </c>
      <c r="I711" s="184">
        <f>4*500</f>
        <v>2000</v>
      </c>
      <c r="N711" s="40"/>
    </row>
    <row r="712" spans="6:14" ht="15.75" x14ac:dyDescent="0.25">
      <c r="F712" s="189" t="s">
        <v>634</v>
      </c>
      <c r="G712" s="179">
        <v>1</v>
      </c>
      <c r="I712" s="184">
        <v>5000</v>
      </c>
      <c r="N712" s="40"/>
    </row>
    <row r="713" spans="6:14" ht="15.75" x14ac:dyDescent="0.25">
      <c r="F713" s="189" t="s">
        <v>635</v>
      </c>
      <c r="G713" s="179">
        <v>5</v>
      </c>
      <c r="I713" s="184">
        <f>5*1000</f>
        <v>5000</v>
      </c>
      <c r="N713" s="40"/>
    </row>
    <row r="714" spans="6:14" ht="15.75" x14ac:dyDescent="0.25">
      <c r="F714" s="189" t="s">
        <v>651</v>
      </c>
      <c r="G714" s="179">
        <v>2</v>
      </c>
      <c r="I714" s="184">
        <f>2*1500</f>
        <v>3000</v>
      </c>
      <c r="N714" s="40"/>
    </row>
    <row r="715" spans="6:14" ht="15.75" x14ac:dyDescent="0.25">
      <c r="F715" s="189" t="s">
        <v>681</v>
      </c>
      <c r="G715" s="179">
        <v>3</v>
      </c>
      <c r="I715" s="184">
        <f>1000+6000+4900</f>
        <v>11900</v>
      </c>
      <c r="N715" s="40"/>
    </row>
    <row r="716" spans="6:14" ht="15.75" x14ac:dyDescent="0.25">
      <c r="F716" s="189" t="s">
        <v>657</v>
      </c>
      <c r="G716" s="179">
        <v>3</v>
      </c>
      <c r="I716" s="184">
        <f>3*800</f>
        <v>2400</v>
      </c>
      <c r="N716" s="40"/>
    </row>
    <row r="717" spans="6:14" ht="15.75" x14ac:dyDescent="0.25">
      <c r="F717" s="189" t="s">
        <v>672</v>
      </c>
      <c r="G717" s="179">
        <v>1</v>
      </c>
      <c r="I717" s="184">
        <v>2500</v>
      </c>
      <c r="N717" s="40"/>
    </row>
    <row r="718" spans="6:14" ht="16.5" thickBot="1" x14ac:dyDescent="0.3">
      <c r="F718" s="231" t="s">
        <v>663</v>
      </c>
      <c r="G718" s="179">
        <v>1</v>
      </c>
      <c r="I718" s="184">
        <v>1000</v>
      </c>
      <c r="N718" s="40"/>
    </row>
    <row r="719" spans="6:14" ht="16.5" thickBot="1" x14ac:dyDescent="0.3">
      <c r="F719" s="195" t="s">
        <v>673</v>
      </c>
      <c r="G719" s="179">
        <v>1</v>
      </c>
      <c r="I719" s="184">
        <v>1000</v>
      </c>
      <c r="N719" s="40"/>
    </row>
    <row r="720" spans="6:14" ht="15.75" x14ac:dyDescent="0.25">
      <c r="F720" s="196" t="s">
        <v>636</v>
      </c>
      <c r="G720" s="179">
        <v>3</v>
      </c>
      <c r="I720" s="184">
        <f>3*800</f>
        <v>2400</v>
      </c>
      <c r="N720" s="40"/>
    </row>
    <row r="721" spans="6:14" ht="16.5" thickBot="1" x14ac:dyDescent="0.3">
      <c r="F721" s="194" t="s">
        <v>637</v>
      </c>
      <c r="G721" s="219">
        <v>19</v>
      </c>
      <c r="I721" s="209">
        <f>19*500</f>
        <v>9500</v>
      </c>
      <c r="N721" s="40"/>
    </row>
    <row r="722" spans="6:14" ht="16.5" thickBot="1" x14ac:dyDescent="0.3">
      <c r="F722" s="195" t="s">
        <v>627</v>
      </c>
      <c r="G722" s="217"/>
      <c r="I722" s="208">
        <f>I711+I712+I713+I714+I715+I716+I717+I718+I719+I720+I721</f>
        <v>45700</v>
      </c>
      <c r="N722" s="40"/>
    </row>
    <row r="723" spans="6:14" ht="15.75" x14ac:dyDescent="0.25">
      <c r="F723" s="196"/>
      <c r="G723" s="218"/>
      <c r="I723" s="206"/>
      <c r="N723" s="40"/>
    </row>
    <row r="724" spans="6:14" ht="16.5" thickBot="1" x14ac:dyDescent="0.3">
      <c r="F724" s="194"/>
      <c r="G724" s="220"/>
      <c r="I724" s="213"/>
      <c r="N724" s="40"/>
    </row>
    <row r="725" spans="6:14" ht="16.5" thickBot="1" x14ac:dyDescent="0.3">
      <c r="F725" s="195" t="s">
        <v>638</v>
      </c>
      <c r="G725" s="217"/>
      <c r="I725" s="208">
        <v>1400</v>
      </c>
      <c r="N725" s="40"/>
    </row>
    <row r="726" spans="6:14" ht="15.75" x14ac:dyDescent="0.25">
      <c r="F726" s="196"/>
      <c r="G726" s="218"/>
      <c r="I726" s="211"/>
      <c r="N726" s="40"/>
    </row>
    <row r="727" spans="6:14" ht="16.5" thickBot="1" x14ac:dyDescent="0.3">
      <c r="F727" s="198"/>
      <c r="G727" s="216"/>
      <c r="I727" s="207"/>
      <c r="N727" s="40"/>
    </row>
    <row r="728" spans="6:14" ht="16.5" thickBot="1" x14ac:dyDescent="0.3">
      <c r="F728" s="195" t="s">
        <v>659</v>
      </c>
      <c r="G728" s="217"/>
      <c r="I728" s="208">
        <v>97549.430000000008</v>
      </c>
      <c r="N728" s="40"/>
    </row>
    <row r="729" spans="6:14" ht="15.75" x14ac:dyDescent="0.25">
      <c r="F729" s="196"/>
      <c r="G729" s="218"/>
      <c r="I729" s="211"/>
      <c r="N729" s="40"/>
    </row>
    <row r="730" spans="6:14" ht="16.5" thickBot="1" x14ac:dyDescent="0.3">
      <c r="F730" s="198"/>
      <c r="G730" s="216"/>
      <c r="I730" s="207"/>
      <c r="N730" s="40"/>
    </row>
    <row r="731" spans="6:14" ht="16.5" thickBot="1" x14ac:dyDescent="0.3">
      <c r="F731" s="195" t="s">
        <v>650</v>
      </c>
      <c r="G731" s="180"/>
      <c r="I731" s="208">
        <v>838926.40999999992</v>
      </c>
      <c r="N731" s="40"/>
    </row>
    <row r="732" spans="6:14" ht="15.75" x14ac:dyDescent="0.25">
      <c r="F732" s="197"/>
      <c r="G732" s="180"/>
      <c r="I732" s="210"/>
      <c r="N732" s="40"/>
    </row>
    <row r="733" spans="6:14" ht="16.5" thickBot="1" x14ac:dyDescent="0.3">
      <c r="F733" s="194"/>
      <c r="G733" s="180"/>
      <c r="I733" s="212"/>
      <c r="N733" s="40"/>
    </row>
    <row r="734" spans="6:14" ht="16.5" thickBot="1" x14ac:dyDescent="0.3">
      <c r="F734" s="195" t="s">
        <v>664</v>
      </c>
      <c r="G734" s="180"/>
      <c r="I734" s="269">
        <v>700</v>
      </c>
      <c r="N734" s="40"/>
    </row>
    <row r="735" spans="6:14" ht="15.75" x14ac:dyDescent="0.25">
      <c r="F735" s="196"/>
      <c r="G735" s="180"/>
      <c r="I735" s="185"/>
      <c r="N735" s="40"/>
    </row>
    <row r="736" spans="6:14" ht="16.5" thickBot="1" x14ac:dyDescent="0.3">
      <c r="F736" s="194"/>
      <c r="G736" s="180"/>
      <c r="I736" s="185"/>
      <c r="N736" s="40"/>
    </row>
    <row r="737" spans="6:14" ht="16.5" thickBot="1" x14ac:dyDescent="0.3">
      <c r="F737" s="195" t="s">
        <v>682</v>
      </c>
      <c r="G737" s="180"/>
      <c r="I737" s="257">
        <v>5500</v>
      </c>
      <c r="N737" s="40"/>
    </row>
    <row r="738" spans="6:14" ht="15.75" x14ac:dyDescent="0.25">
      <c r="F738" s="197"/>
      <c r="G738" s="180"/>
      <c r="I738" s="185"/>
      <c r="N738" s="40"/>
    </row>
    <row r="739" spans="6:14" ht="16.5" thickBot="1" x14ac:dyDescent="0.3">
      <c r="F739" s="194"/>
      <c r="G739" s="180"/>
      <c r="I739" s="185"/>
      <c r="N739" s="40"/>
    </row>
    <row r="740" spans="6:14" ht="16.5" thickBot="1" x14ac:dyDescent="0.3">
      <c r="F740" s="195" t="s">
        <v>683</v>
      </c>
      <c r="G740" s="180"/>
      <c r="I740" s="257">
        <v>69600</v>
      </c>
      <c r="N740" s="40"/>
    </row>
    <row r="741" spans="6:14" ht="15.75" x14ac:dyDescent="0.25">
      <c r="F741" s="196"/>
      <c r="G741" s="180"/>
      <c r="I741" s="183"/>
      <c r="N741" s="40"/>
    </row>
    <row r="742" spans="6:14" ht="16.5" thickBot="1" x14ac:dyDescent="0.3">
      <c r="F742" s="194"/>
      <c r="G742" s="180"/>
      <c r="I742" s="213"/>
      <c r="N742" s="40"/>
    </row>
    <row r="743" spans="6:14" ht="16.5" thickBot="1" x14ac:dyDescent="0.3">
      <c r="F743" s="191" t="s">
        <v>665</v>
      </c>
      <c r="G743" s="266"/>
      <c r="I743" s="208">
        <v>10000</v>
      </c>
      <c r="N743" s="40"/>
    </row>
    <row r="744" spans="6:14" ht="15.75" x14ac:dyDescent="0.25">
      <c r="F744" s="191"/>
      <c r="G744" s="218"/>
      <c r="I744" s="206"/>
      <c r="N744" s="40"/>
    </row>
    <row r="745" spans="6:14" ht="15.75" x14ac:dyDescent="0.25">
      <c r="F745" s="190"/>
      <c r="G745" s="220"/>
      <c r="I745" s="213"/>
      <c r="N745" s="40"/>
    </row>
    <row r="746" spans="6:14" ht="16.5" thickBot="1" x14ac:dyDescent="0.3">
      <c r="F746" s="255" t="s">
        <v>639</v>
      </c>
      <c r="G746" s="180"/>
      <c r="I746" s="257">
        <v>229250</v>
      </c>
      <c r="N746" s="40"/>
    </row>
    <row r="747" spans="6:14" ht="15.75" x14ac:dyDescent="0.25">
      <c r="F747" s="196"/>
      <c r="G747" s="180"/>
      <c r="I747" s="258"/>
      <c r="N747" s="40"/>
    </row>
    <row r="748" spans="6:14" ht="16.5" thickBot="1" x14ac:dyDescent="0.3">
      <c r="F748" s="194"/>
      <c r="G748" s="181"/>
      <c r="I748" s="258"/>
      <c r="N748" s="40"/>
    </row>
    <row r="749" spans="6:14" ht="16.5" thickBot="1" x14ac:dyDescent="0.3">
      <c r="F749" s="195" t="s">
        <v>640</v>
      </c>
      <c r="G749" s="256"/>
      <c r="I749" s="259">
        <v>39600</v>
      </c>
      <c r="N749" s="40"/>
    </row>
    <row r="750" spans="6:14" ht="15.75" x14ac:dyDescent="0.25">
      <c r="F750" s="196"/>
      <c r="G750" s="222"/>
      <c r="I750" s="206"/>
      <c r="N750" s="40"/>
    </row>
    <row r="751" spans="6:14" ht="16.5" thickBot="1" x14ac:dyDescent="0.3">
      <c r="F751" s="196"/>
      <c r="G751" s="216"/>
      <c r="I751" s="213"/>
      <c r="N751" s="40"/>
    </row>
    <row r="752" spans="6:14" ht="16.5" thickBot="1" x14ac:dyDescent="0.3">
      <c r="F752" s="196" t="s">
        <v>641</v>
      </c>
      <c r="G752" s="221"/>
      <c r="I752" s="208">
        <v>21655</v>
      </c>
      <c r="N752" s="40"/>
    </row>
    <row r="753" spans="1:14" ht="15.75" x14ac:dyDescent="0.25">
      <c r="F753" s="262"/>
      <c r="G753" s="222"/>
      <c r="I753" s="206"/>
      <c r="N753" s="40"/>
    </row>
    <row r="754" spans="1:14" ht="16.5" thickBot="1" x14ac:dyDescent="0.3">
      <c r="F754" s="263"/>
      <c r="G754" s="222"/>
      <c r="I754" s="206"/>
      <c r="N754" s="40"/>
    </row>
    <row r="755" spans="1:14" ht="16.5" thickBot="1" x14ac:dyDescent="0.3">
      <c r="F755" s="263" t="s">
        <v>642</v>
      </c>
      <c r="G755" s="221"/>
      <c r="I755" s="208">
        <v>96600</v>
      </c>
      <c r="N755" s="40"/>
    </row>
    <row r="756" spans="1:14" ht="16.5" thickBot="1" x14ac:dyDescent="0.3">
      <c r="F756" s="191"/>
      <c r="G756" s="179"/>
      <c r="I756" s="184"/>
      <c r="N756" s="40"/>
    </row>
    <row r="757" spans="1:14" ht="16.5" thickBot="1" x14ac:dyDescent="0.3">
      <c r="F757" s="195"/>
      <c r="G757" s="219"/>
      <c r="I757" s="209"/>
      <c r="N757" s="40"/>
    </row>
    <row r="758" spans="1:14" ht="15.75" x14ac:dyDescent="0.25">
      <c r="F758" s="189" t="s">
        <v>643</v>
      </c>
      <c r="G758" s="179"/>
      <c r="I758" s="183"/>
      <c r="N758" s="40"/>
    </row>
    <row r="759" spans="1:14" ht="15.75" x14ac:dyDescent="0.25">
      <c r="F759" s="189" t="s">
        <v>644</v>
      </c>
      <c r="G759" s="179">
        <v>1</v>
      </c>
      <c r="I759" s="184">
        <v>1000</v>
      </c>
      <c r="N759" s="40"/>
    </row>
    <row r="760" spans="1:14" ht="15.75" x14ac:dyDescent="0.25">
      <c r="F760" s="188" t="s">
        <v>666</v>
      </c>
      <c r="G760" s="179">
        <v>1</v>
      </c>
      <c r="I760" s="184">
        <v>1485</v>
      </c>
      <c r="N760" s="40"/>
    </row>
    <row r="761" spans="1:14" s="87" customFormat="1" ht="16.5" thickBot="1" x14ac:dyDescent="0.3">
      <c r="A761" s="125"/>
      <c r="B761" s="125"/>
      <c r="C761" s="125"/>
      <c r="D761" s="125"/>
      <c r="F761" s="189"/>
      <c r="G761" s="219"/>
      <c r="I761" s="209"/>
      <c r="N761" s="88"/>
    </row>
    <row r="762" spans="1:14" s="87" customFormat="1" ht="16.5" thickBot="1" x14ac:dyDescent="0.3">
      <c r="A762" s="125"/>
      <c r="B762" s="125"/>
      <c r="C762" s="125"/>
      <c r="D762" s="125"/>
      <c r="F762" s="189" t="s">
        <v>627</v>
      </c>
      <c r="G762" s="221"/>
      <c r="I762" s="208">
        <f>I759+I760</f>
        <v>2485</v>
      </c>
      <c r="N762" s="88"/>
    </row>
    <row r="763" spans="1:14" s="87" customFormat="1" ht="16.5" thickBot="1" x14ac:dyDescent="0.3">
      <c r="A763" s="125"/>
      <c r="B763" s="125"/>
      <c r="C763" s="125"/>
      <c r="D763" s="125"/>
      <c r="F763" s="228"/>
      <c r="G763" s="222"/>
      <c r="I763" s="206"/>
      <c r="N763" s="88"/>
    </row>
    <row r="764" spans="1:14" s="87" customFormat="1" ht="16.5" thickBot="1" x14ac:dyDescent="0.3">
      <c r="A764" s="125"/>
      <c r="B764" s="125"/>
      <c r="C764" s="125"/>
      <c r="D764" s="125"/>
      <c r="F764" s="195"/>
      <c r="G764" s="179"/>
      <c r="I764" s="184"/>
      <c r="N764" s="88"/>
    </row>
    <row r="765" spans="1:14" s="87" customFormat="1" ht="15.75" x14ac:dyDescent="0.25">
      <c r="A765" s="125"/>
      <c r="B765" s="125"/>
      <c r="C765" s="125"/>
      <c r="D765" s="125"/>
      <c r="F765" s="196" t="s">
        <v>645</v>
      </c>
      <c r="G765" s="181"/>
      <c r="I765" s="183"/>
      <c r="N765" s="88"/>
    </row>
    <row r="766" spans="1:14" ht="15.75" x14ac:dyDescent="0.25">
      <c r="F766" s="189" t="s">
        <v>646</v>
      </c>
      <c r="G766" s="179">
        <v>3</v>
      </c>
      <c r="I766" s="184">
        <f>3*1500</f>
        <v>4500</v>
      </c>
      <c r="N766" s="40"/>
    </row>
    <row r="767" spans="1:14" ht="15.75" x14ac:dyDescent="0.25">
      <c r="F767" s="191" t="s">
        <v>684</v>
      </c>
      <c r="G767" s="179">
        <v>1</v>
      </c>
      <c r="I767" s="184">
        <v>5000</v>
      </c>
      <c r="N767" s="40"/>
    </row>
    <row r="768" spans="1:14" ht="15.75" x14ac:dyDescent="0.25">
      <c r="F768" s="189" t="s">
        <v>658</v>
      </c>
      <c r="G768" s="179">
        <v>8</v>
      </c>
      <c r="I768" s="184">
        <f>8*1500</f>
        <v>12000</v>
      </c>
      <c r="N768" s="40"/>
    </row>
    <row r="769" spans="6:14" ht="16.5" thickBot="1" x14ac:dyDescent="0.3">
      <c r="F769" s="189"/>
      <c r="G769" s="219"/>
      <c r="I769" s="209"/>
      <c r="N769" s="40"/>
    </row>
    <row r="770" spans="6:14" ht="16.5" thickBot="1" x14ac:dyDescent="0.3">
      <c r="F770" s="189" t="s">
        <v>627</v>
      </c>
      <c r="G770" s="221"/>
      <c r="I770" s="208">
        <f>I766+I767+I768</f>
        <v>21500</v>
      </c>
      <c r="N770" s="40"/>
    </row>
    <row r="771" spans="6:14" ht="16.5" thickBot="1" x14ac:dyDescent="0.3">
      <c r="F771" s="228"/>
      <c r="G771" s="222"/>
      <c r="I771" s="206"/>
      <c r="N771" s="40"/>
    </row>
    <row r="772" spans="6:14" ht="16.5" thickBot="1" x14ac:dyDescent="0.3">
      <c r="F772" s="195"/>
      <c r="G772" s="216"/>
      <c r="I772" s="213"/>
      <c r="N772" s="40"/>
    </row>
    <row r="773" spans="6:14" ht="16.5" thickBot="1" x14ac:dyDescent="0.3">
      <c r="F773" s="196" t="s">
        <v>647</v>
      </c>
      <c r="G773" s="234"/>
      <c r="I773" s="239">
        <v>10998296.839999998</v>
      </c>
      <c r="N773" s="40"/>
    </row>
    <row r="774" spans="6:14" ht="16.5" thickBot="1" x14ac:dyDescent="0.3">
      <c r="F774" s="194"/>
      <c r="G774" s="236"/>
      <c r="I774" s="240"/>
      <c r="N774" s="40"/>
    </row>
    <row r="775" spans="6:14" ht="16.5" thickBot="1" x14ac:dyDescent="0.3">
      <c r="F775" s="195"/>
      <c r="G775" s="238"/>
      <c r="I775" s="241"/>
      <c r="N775" s="40"/>
    </row>
    <row r="776" spans="6:14" ht="16.5" thickBot="1" x14ac:dyDescent="0.3">
      <c r="F776" s="196" t="s">
        <v>652</v>
      </c>
      <c r="G776" s="234"/>
      <c r="I776" s="239">
        <v>26900</v>
      </c>
      <c r="N776" s="40"/>
    </row>
    <row r="777" spans="6:14" ht="16.5" thickBot="1" x14ac:dyDescent="0.3">
      <c r="F777" s="232"/>
      <c r="G777" s="236"/>
      <c r="I777" s="242"/>
      <c r="N777" s="40"/>
    </row>
    <row r="778" spans="6:14" ht="16.5" thickBot="1" x14ac:dyDescent="0.3">
      <c r="F778" s="233"/>
      <c r="G778" s="238"/>
      <c r="I778" s="243"/>
      <c r="N778" s="40"/>
    </row>
    <row r="779" spans="6:14" ht="16.5" thickBot="1" x14ac:dyDescent="0.3">
      <c r="F779" s="235" t="s">
        <v>655</v>
      </c>
      <c r="G779" s="234"/>
      <c r="I779" s="270">
        <v>-2113.5700000000002</v>
      </c>
      <c r="N779" s="40"/>
    </row>
    <row r="780" spans="6:14" ht="16.5" thickBot="1" x14ac:dyDescent="0.3">
      <c r="F780" s="237"/>
      <c r="G780" s="236"/>
      <c r="I780" s="247"/>
      <c r="N780" s="40"/>
    </row>
    <row r="781" spans="6:14" ht="16.5" thickBot="1" x14ac:dyDescent="0.3">
      <c r="F781" s="233"/>
      <c r="G781" s="238"/>
      <c r="I781" s="248"/>
      <c r="N781" s="40"/>
    </row>
    <row r="782" spans="6:14" ht="16.5" thickBot="1" x14ac:dyDescent="0.3">
      <c r="F782" s="235" t="s">
        <v>660</v>
      </c>
      <c r="G782" s="234"/>
      <c r="I782" s="270">
        <v>-0.57999999996900442</v>
      </c>
      <c r="N782" s="40"/>
    </row>
    <row r="783" spans="6:14" ht="16.5" thickBot="1" x14ac:dyDescent="0.3">
      <c r="F783" s="237"/>
      <c r="G783" s="236"/>
      <c r="I783" s="247"/>
      <c r="N783" s="40"/>
    </row>
    <row r="784" spans="6:14" ht="16.5" thickBot="1" x14ac:dyDescent="0.3">
      <c r="F784" s="233"/>
      <c r="G784" s="267"/>
      <c r="I784" s="229"/>
      <c r="N784" s="40"/>
    </row>
    <row r="785" spans="6:14" ht="15.75" x14ac:dyDescent="0.25">
      <c r="F785" s="235" t="s">
        <v>223</v>
      </c>
      <c r="G785" s="268"/>
      <c r="I785" s="230">
        <f>I672+I707+I722+I725+I728+I731+I734+I737+I740+I743+I746+I749+I752+I755+I762+I770+I773+I776+I779+I782</f>
        <v>13060303.519999998</v>
      </c>
      <c r="N785" s="40"/>
    </row>
    <row r="786" spans="6:14" x14ac:dyDescent="0.25">
      <c r="I786" s="245"/>
    </row>
    <row r="787" spans="6:14" ht="15.75" customHeight="1" x14ac:dyDescent="0.25">
      <c r="I787" s="245"/>
    </row>
    <row r="788" spans="6:14" ht="16.5" customHeight="1" x14ac:dyDescent="0.25">
      <c r="G788" s="307"/>
      <c r="H788" s="307"/>
      <c r="I788" s="246"/>
      <c r="J788" s="98"/>
      <c r="K788" s="101"/>
      <c r="L788" s="101"/>
    </row>
    <row r="789" spans="6:14" ht="15.75" x14ac:dyDescent="0.25">
      <c r="G789" s="305"/>
      <c r="H789" s="305"/>
      <c r="I789" s="98"/>
      <c r="J789" s="98"/>
      <c r="K789" s="61"/>
      <c r="L789" s="58"/>
    </row>
    <row r="790" spans="6:14" ht="15.75" customHeight="1" x14ac:dyDescent="0.25">
      <c r="G790" s="307"/>
      <c r="H790" s="307"/>
      <c r="I790" s="98"/>
      <c r="J790" s="98"/>
      <c r="K790" s="101"/>
      <c r="L790" s="101"/>
    </row>
    <row r="791" spans="6:14" ht="15.75" x14ac:dyDescent="0.25">
      <c r="G791" s="305"/>
      <c r="H791" s="305"/>
      <c r="I791" s="261"/>
      <c r="J791" s="98"/>
      <c r="K791" s="61"/>
      <c r="L791" s="101"/>
    </row>
    <row r="792" spans="6:14" ht="15.75" x14ac:dyDescent="0.25">
      <c r="G792" s="305"/>
      <c r="H792" s="305"/>
      <c r="I792" s="98"/>
      <c r="J792" s="98"/>
      <c r="K792" s="61"/>
      <c r="L792" s="58"/>
    </row>
    <row r="793" spans="6:14" ht="15.75" x14ac:dyDescent="0.25">
      <c r="G793" s="305"/>
      <c r="H793" s="305"/>
      <c r="I793" s="98"/>
      <c r="J793" s="98"/>
      <c r="K793" s="61"/>
      <c r="L793" s="58"/>
    </row>
    <row r="794" spans="6:14" ht="15.75" x14ac:dyDescent="0.25">
      <c r="G794" s="305"/>
      <c r="H794" s="305"/>
      <c r="I794" s="98"/>
      <c r="J794" s="98"/>
      <c r="K794" s="61"/>
      <c r="L794" s="101"/>
    </row>
    <row r="795" spans="6:14" ht="15.75" x14ac:dyDescent="0.25">
      <c r="G795" s="305"/>
      <c r="H795" s="305"/>
      <c r="I795" s="98"/>
      <c r="J795" s="98"/>
      <c r="K795" s="61"/>
      <c r="L795" s="67"/>
    </row>
    <row r="796" spans="6:14" ht="15.75" x14ac:dyDescent="0.25">
      <c r="G796" s="305"/>
      <c r="H796" s="305"/>
      <c r="I796" s="98"/>
      <c r="J796" s="98"/>
      <c r="K796" s="61"/>
      <c r="L796" s="41"/>
    </row>
    <row r="797" spans="6:14" ht="15.75" x14ac:dyDescent="0.25">
      <c r="G797" s="305"/>
      <c r="H797" s="305"/>
      <c r="I797" s="98"/>
      <c r="J797" s="98"/>
      <c r="K797" s="61"/>
      <c r="L797" s="101"/>
    </row>
    <row r="798" spans="6:14" ht="15.75" x14ac:dyDescent="0.25">
      <c r="G798" s="305"/>
      <c r="H798" s="305"/>
      <c r="I798" s="98"/>
      <c r="J798" s="98"/>
      <c r="K798" s="61"/>
      <c r="L798" s="42"/>
    </row>
    <row r="799" spans="6:14" ht="15.75" x14ac:dyDescent="0.25">
      <c r="G799" s="305"/>
      <c r="H799" s="305"/>
      <c r="I799" s="98"/>
      <c r="J799" s="98"/>
      <c r="K799" s="61"/>
      <c r="L799" s="42"/>
    </row>
    <row r="800" spans="6:14" ht="15.75" x14ac:dyDescent="0.25">
      <c r="G800" s="305"/>
      <c r="H800" s="305"/>
      <c r="I800" s="98"/>
      <c r="J800" s="98"/>
      <c r="K800" s="61"/>
      <c r="L800" s="64"/>
    </row>
    <row r="801" spans="7:12" ht="15.75" x14ac:dyDescent="0.25">
      <c r="G801" s="306"/>
      <c r="H801" s="306"/>
      <c r="I801" s="306"/>
      <c r="J801" s="306"/>
      <c r="K801" s="65"/>
      <c r="L801" s="66"/>
    </row>
    <row r="803" spans="7:12" ht="15.75" x14ac:dyDescent="0.25">
      <c r="G803" s="100"/>
      <c r="H803" s="99"/>
      <c r="I803" s="99"/>
      <c r="J803" s="99"/>
      <c r="K803" s="49"/>
      <c r="L803" s="59"/>
    </row>
    <row r="804" spans="7:12" ht="15.75" x14ac:dyDescent="0.25">
      <c r="G804" s="100"/>
      <c r="H804" s="99"/>
      <c r="I804" s="99"/>
      <c r="J804" s="99"/>
      <c r="K804" s="49"/>
      <c r="L804" s="59"/>
    </row>
    <row r="805" spans="7:12" ht="15.75" x14ac:dyDescent="0.25">
      <c r="G805" s="57"/>
      <c r="H805" s="99"/>
      <c r="I805" s="99"/>
      <c r="J805" s="99"/>
      <c r="K805" s="49"/>
      <c r="L805" s="59"/>
    </row>
    <row r="806" spans="7:12" ht="16.5" x14ac:dyDescent="0.3">
      <c r="G806" s="57"/>
      <c r="H806" s="99"/>
      <c r="I806" s="99"/>
      <c r="J806" s="99"/>
      <c r="K806" s="49"/>
      <c r="L806" s="60"/>
    </row>
    <row r="807" spans="7:12" ht="15.75" x14ac:dyDescent="0.25">
      <c r="G807" s="94"/>
      <c r="H807" s="99"/>
      <c r="I807" s="99"/>
      <c r="J807" s="99"/>
      <c r="K807" s="49"/>
      <c r="L807" s="58"/>
    </row>
    <row r="808" spans="7:12" ht="15.75" x14ac:dyDescent="0.25">
      <c r="G808" s="100"/>
      <c r="H808" s="99"/>
      <c r="I808" s="99"/>
      <c r="J808" s="99"/>
      <c r="K808" s="49"/>
      <c r="L808" s="59"/>
    </row>
    <row r="809" spans="7:12" ht="15.75" x14ac:dyDescent="0.25">
      <c r="G809" s="100"/>
      <c r="H809" s="99"/>
      <c r="I809" s="99"/>
      <c r="J809" s="99"/>
      <c r="K809" s="61"/>
      <c r="L809" s="101"/>
    </row>
    <row r="810" spans="7:12" ht="15.75" x14ac:dyDescent="0.25">
      <c r="G810" s="94"/>
      <c r="H810" s="99"/>
      <c r="I810" s="99"/>
      <c r="J810" s="99"/>
      <c r="K810" s="61"/>
      <c r="L810" s="62"/>
    </row>
    <row r="811" spans="7:12" ht="15.75" x14ac:dyDescent="0.25">
      <c r="G811" s="94"/>
      <c r="H811" s="99"/>
      <c r="I811" s="99"/>
      <c r="J811" s="99"/>
      <c r="K811" s="61"/>
      <c r="L811" s="62"/>
    </row>
    <row r="812" spans="7:12" ht="15.75" x14ac:dyDescent="0.25">
      <c r="G812" s="94"/>
      <c r="H812" s="99"/>
      <c r="I812" s="99"/>
      <c r="J812" s="99"/>
      <c r="K812" s="61"/>
      <c r="L812" s="101"/>
    </row>
    <row r="813" spans="7:12" ht="15.75" x14ac:dyDescent="0.25">
      <c r="G813" s="94"/>
      <c r="H813" s="99"/>
      <c r="I813" s="99"/>
      <c r="J813" s="99"/>
      <c r="K813" s="61"/>
      <c r="L813" s="58"/>
    </row>
    <row r="814" spans="7:12" ht="15.75" x14ac:dyDescent="0.25">
      <c r="G814" s="94"/>
      <c r="H814" s="99"/>
      <c r="I814" s="99"/>
      <c r="J814" s="99"/>
      <c r="K814" s="61"/>
      <c r="L814" s="58"/>
    </row>
    <row r="815" spans="7:12" ht="15.75" x14ac:dyDescent="0.25">
      <c r="G815" s="94"/>
      <c r="H815" s="99"/>
      <c r="I815" s="99"/>
      <c r="J815" s="99"/>
      <c r="K815" s="61"/>
      <c r="L815" s="101"/>
    </row>
    <row r="816" spans="7:12" ht="15.75" x14ac:dyDescent="0.25">
      <c r="G816" s="94"/>
      <c r="H816" s="99"/>
      <c r="I816" s="99"/>
      <c r="J816" s="99"/>
      <c r="K816" s="61"/>
      <c r="L816" s="58"/>
    </row>
    <row r="817" spans="6:13" ht="15.75" x14ac:dyDescent="0.25">
      <c r="G817" s="94"/>
      <c r="H817" s="99"/>
      <c r="I817" s="99"/>
      <c r="J817" s="99"/>
      <c r="K817" s="61"/>
      <c r="L817" s="58"/>
    </row>
    <row r="818" spans="6:13" ht="15.75" x14ac:dyDescent="0.25">
      <c r="G818" s="94"/>
      <c r="H818" s="99"/>
      <c r="I818" s="99"/>
      <c r="J818" s="99"/>
      <c r="K818" s="61"/>
      <c r="L818" s="101"/>
    </row>
    <row r="819" spans="6:13" ht="15.75" x14ac:dyDescent="0.25">
      <c r="G819" s="94"/>
      <c r="H819" s="99"/>
      <c r="I819" s="99"/>
      <c r="J819" s="99"/>
      <c r="K819" s="61"/>
      <c r="L819" s="63"/>
    </row>
    <row r="820" spans="6:13" ht="15.75" x14ac:dyDescent="0.25">
      <c r="G820" s="94"/>
      <c r="H820" s="99"/>
      <c r="I820" s="99"/>
      <c r="J820" s="99"/>
      <c r="K820" s="61"/>
      <c r="L820" s="41"/>
    </row>
    <row r="821" spans="6:13" ht="15.75" x14ac:dyDescent="0.25">
      <c r="G821" s="94"/>
      <c r="H821" s="99"/>
      <c r="I821" s="99"/>
      <c r="J821" s="99"/>
      <c r="K821" s="61"/>
      <c r="L821" s="101"/>
    </row>
    <row r="822" spans="6:13" ht="15.75" x14ac:dyDescent="0.25">
      <c r="G822" s="94"/>
      <c r="H822" s="99"/>
      <c r="I822" s="99"/>
      <c r="J822" s="99"/>
      <c r="K822" s="61"/>
      <c r="L822" s="42"/>
    </row>
    <row r="823" spans="6:13" ht="15.75" x14ac:dyDescent="0.25">
      <c r="G823" s="94"/>
      <c r="H823" s="99"/>
      <c r="I823" s="99"/>
      <c r="J823" s="99"/>
      <c r="K823" s="61"/>
      <c r="L823" s="64"/>
    </row>
    <row r="824" spans="6:13" ht="15.75" x14ac:dyDescent="0.25">
      <c r="G824" s="305"/>
      <c r="H824" s="305"/>
      <c r="I824" s="305"/>
      <c r="J824" s="305"/>
      <c r="K824" s="65"/>
      <c r="L824" s="66"/>
    </row>
    <row r="825" spans="6:13" ht="15.75" x14ac:dyDescent="0.25">
      <c r="F825" s="98"/>
      <c r="G825" s="304"/>
      <c r="H825" s="304"/>
      <c r="I825" s="304"/>
      <c r="J825" s="304"/>
      <c r="K825" s="49"/>
      <c r="L825" s="42"/>
    </row>
    <row r="826" spans="6:13" ht="15.75" x14ac:dyDescent="0.25">
      <c r="F826" s="98"/>
      <c r="G826" s="304"/>
      <c r="H826" s="304"/>
      <c r="I826" s="304"/>
      <c r="J826" s="304"/>
      <c r="K826" s="49"/>
      <c r="L826" s="42" t="s">
        <v>29</v>
      </c>
    </row>
    <row r="827" spans="6:13" ht="15.75" x14ac:dyDescent="0.25">
      <c r="F827" s="98"/>
      <c r="G827" s="304"/>
      <c r="H827" s="304"/>
      <c r="I827" s="304"/>
      <c r="J827" s="304"/>
      <c r="K827" s="49"/>
      <c r="L827" s="41"/>
    </row>
    <row r="828" spans="6:13" ht="15.75" x14ac:dyDescent="0.25">
      <c r="F828" s="98"/>
      <c r="G828" s="304"/>
      <c r="H828" s="304"/>
      <c r="I828" s="304"/>
      <c r="J828" s="304"/>
      <c r="K828" s="49"/>
      <c r="L828" s="43"/>
    </row>
    <row r="829" spans="6:13" ht="15.75" x14ac:dyDescent="0.25">
      <c r="F829" s="98"/>
      <c r="G829" s="304"/>
      <c r="H829" s="304"/>
      <c r="I829" s="304"/>
      <c r="J829" s="304"/>
      <c r="K829" s="49"/>
      <c r="L829" s="44"/>
    </row>
    <row r="830" spans="6:13" ht="20.25" x14ac:dyDescent="0.3">
      <c r="F830" s="98"/>
      <c r="G830" s="304"/>
      <c r="H830" s="304"/>
      <c r="I830" s="304"/>
      <c r="J830" s="304"/>
      <c r="K830" s="50"/>
      <c r="L830" s="45"/>
    </row>
    <row r="831" spans="6:13" ht="15.75" customHeight="1" x14ac:dyDescent="0.25">
      <c r="F831" s="37"/>
      <c r="G831" s="37"/>
      <c r="H831" s="37"/>
      <c r="I831" s="37"/>
      <c r="J831" s="37"/>
      <c r="K831" s="37"/>
      <c r="L831" s="138"/>
      <c r="M831" s="37"/>
    </row>
    <row r="832" spans="6:13" ht="15.75" customHeight="1" x14ac:dyDescent="0.25">
      <c r="F832" s="37"/>
      <c r="G832" s="37"/>
      <c r="H832" s="37"/>
      <c r="I832" s="37"/>
      <c r="J832" s="37"/>
      <c r="K832" s="37"/>
      <c r="L832" s="139"/>
      <c r="M832" s="37"/>
    </row>
    <row r="833" spans="6:13" ht="15.75" customHeight="1" x14ac:dyDescent="0.25">
      <c r="F833" s="37"/>
      <c r="G833" s="37"/>
      <c r="H833" s="37"/>
      <c r="I833" s="37"/>
      <c r="J833" s="37"/>
      <c r="K833" s="37"/>
      <c r="L833" s="139"/>
      <c r="M833" s="37"/>
    </row>
    <row r="834" spans="6:13" ht="15.75" customHeight="1" x14ac:dyDescent="0.25">
      <c r="F834" s="37"/>
      <c r="G834" s="37"/>
      <c r="H834" s="37"/>
      <c r="I834" s="37"/>
      <c r="J834" s="37"/>
      <c r="K834" s="37"/>
      <c r="L834" s="139"/>
      <c r="M834" s="37"/>
    </row>
    <row r="835" spans="6:13" ht="15.75" customHeight="1" x14ac:dyDescent="0.25">
      <c r="F835" s="37"/>
      <c r="G835" s="37"/>
      <c r="H835" s="37"/>
      <c r="I835" s="37"/>
      <c r="J835" s="37"/>
      <c r="K835" s="37"/>
      <c r="L835" s="139"/>
      <c r="M835" s="37"/>
    </row>
    <row r="836" spans="6:13" ht="15.75" customHeight="1" x14ac:dyDescent="0.25">
      <c r="F836" s="37"/>
      <c r="G836" s="37"/>
      <c r="H836" s="37"/>
      <c r="I836" s="37"/>
      <c r="J836" s="37"/>
      <c r="K836" s="37"/>
      <c r="L836" s="139"/>
      <c r="M836" s="37"/>
    </row>
    <row r="837" spans="6:13" ht="15.75" customHeight="1" x14ac:dyDescent="0.25">
      <c r="F837" s="37"/>
      <c r="G837" s="37"/>
      <c r="H837" s="37"/>
      <c r="I837" s="37"/>
      <c r="J837" s="37"/>
      <c r="K837" s="37"/>
      <c r="L837" s="139"/>
      <c r="M837" s="37"/>
    </row>
    <row r="838" spans="6:13" ht="15.75" customHeight="1" x14ac:dyDescent="0.25">
      <c r="F838" s="37"/>
      <c r="G838" s="37"/>
      <c r="H838" s="37"/>
      <c r="I838" s="37"/>
      <c r="J838" s="37"/>
      <c r="K838" s="37"/>
      <c r="L838" s="139"/>
      <c r="M838" s="37"/>
    </row>
    <row r="839" spans="6:13" ht="15.75" customHeight="1" x14ac:dyDescent="0.25">
      <c r="F839" s="37"/>
      <c r="G839" s="37"/>
      <c r="H839" s="37"/>
      <c r="I839" s="37"/>
      <c r="J839" s="37"/>
      <c r="K839" s="37"/>
      <c r="L839" s="139"/>
      <c r="M839" s="37"/>
    </row>
    <row r="840" spans="6:13" ht="15.75" customHeight="1" x14ac:dyDescent="0.25">
      <c r="F840" s="37"/>
      <c r="G840" s="37"/>
      <c r="H840" s="37"/>
      <c r="I840" s="37"/>
      <c r="J840" s="37"/>
      <c r="K840" s="37"/>
      <c r="L840" s="139"/>
      <c r="M840" s="37"/>
    </row>
    <row r="841" spans="6:13" ht="15.75" customHeight="1" x14ac:dyDescent="0.25">
      <c r="F841" s="37"/>
      <c r="G841" s="37"/>
      <c r="H841" s="37"/>
      <c r="I841" s="37"/>
      <c r="J841" s="37"/>
      <c r="K841" s="37"/>
      <c r="L841" s="139"/>
      <c r="M841" s="37"/>
    </row>
    <row r="842" spans="6:13" ht="15.75" customHeight="1" x14ac:dyDescent="0.25">
      <c r="F842" s="37"/>
      <c r="G842" s="37"/>
      <c r="H842" s="37"/>
      <c r="I842" s="37"/>
      <c r="J842" s="37"/>
      <c r="K842" s="37"/>
      <c r="L842" s="139"/>
      <c r="M842" s="37"/>
    </row>
    <row r="843" spans="6:13" ht="15.75" customHeight="1" x14ac:dyDescent="0.25">
      <c r="F843" s="37"/>
      <c r="G843" s="37"/>
      <c r="H843" s="37"/>
      <c r="I843" s="37"/>
      <c r="J843" s="37"/>
      <c r="K843" s="37"/>
      <c r="L843" s="139"/>
      <c r="M843" s="37"/>
    </row>
    <row r="844" spans="6:13" ht="15.75" customHeight="1" x14ac:dyDescent="0.25">
      <c r="F844" s="37"/>
      <c r="G844" s="37"/>
      <c r="H844" s="37"/>
      <c r="I844" s="37"/>
      <c r="J844" s="37"/>
      <c r="K844" s="37"/>
      <c r="L844" s="139"/>
      <c r="M844" s="37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9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ht="15.75" customHeight="1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ht="15.75" customHeight="1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ht="15.75" customHeight="1" x14ac:dyDescent="0.25">
      <c r="F850" s="37"/>
      <c r="G850" s="37"/>
      <c r="H850" s="37"/>
      <c r="I850" s="37"/>
      <c r="J850" s="37"/>
      <c r="K850" s="37"/>
      <c r="L850" s="139"/>
      <c r="M850" s="37"/>
    </row>
    <row r="851" spans="6:13" ht="15.75" customHeight="1" x14ac:dyDescent="0.25">
      <c r="F851" s="37"/>
      <c r="G851" s="37"/>
      <c r="H851" s="37"/>
      <c r="I851" s="37"/>
      <c r="J851" s="37"/>
      <c r="K851" s="37"/>
      <c r="L851" s="139"/>
      <c r="M851" s="37"/>
    </row>
    <row r="852" spans="6:13" ht="15.75" customHeight="1" x14ac:dyDescent="0.25">
      <c r="F852" s="37"/>
      <c r="G852" s="37"/>
      <c r="H852" s="37"/>
      <c r="I852" s="37"/>
      <c r="J852" s="37"/>
      <c r="K852" s="37"/>
      <c r="L852" s="139"/>
      <c r="M852" s="37"/>
    </row>
    <row r="853" spans="6:13" ht="15.75" customHeight="1" x14ac:dyDescent="0.25">
      <c r="F853" s="37"/>
      <c r="G853" s="37"/>
      <c r="H853" s="37"/>
      <c r="I853" s="37"/>
      <c r="J853" s="37"/>
      <c r="K853" s="37"/>
      <c r="L853" s="139"/>
      <c r="M853" s="37"/>
    </row>
    <row r="854" spans="6:13" ht="15.75" customHeight="1" x14ac:dyDescent="0.25">
      <c r="F854" s="37"/>
      <c r="G854" s="37"/>
      <c r="H854" s="37"/>
      <c r="I854" s="37"/>
      <c r="J854" s="37"/>
      <c r="K854" s="37"/>
      <c r="L854" s="139"/>
      <c r="M854" s="37"/>
    </row>
    <row r="855" spans="6:13" ht="15.75" customHeight="1" x14ac:dyDescent="0.25">
      <c r="F855" s="37"/>
      <c r="G855" s="37"/>
      <c r="H855" s="37"/>
      <c r="I855" s="37"/>
      <c r="J855" s="37"/>
      <c r="K855" s="37"/>
      <c r="L855" s="139"/>
      <c r="M855" s="37"/>
    </row>
    <row r="856" spans="6:13" ht="15.75" customHeight="1" x14ac:dyDescent="0.25">
      <c r="F856" s="37"/>
      <c r="G856" s="37"/>
      <c r="H856" s="37"/>
      <c r="I856" s="37"/>
      <c r="J856" s="37"/>
      <c r="K856" s="37"/>
      <c r="L856" s="139"/>
      <c r="M856" s="37"/>
    </row>
    <row r="857" spans="6:13" x14ac:dyDescent="0.25">
      <c r="F857" s="37"/>
      <c r="G857" s="37"/>
      <c r="H857" s="37"/>
      <c r="I857" s="37"/>
      <c r="J857" s="37"/>
      <c r="K857" s="37"/>
      <c r="L857" s="139"/>
      <c r="M857" s="37"/>
    </row>
    <row r="858" spans="6:13" x14ac:dyDescent="0.25">
      <c r="F858" s="37"/>
      <c r="G858" s="37"/>
      <c r="H858" s="37"/>
      <c r="I858" s="37"/>
      <c r="J858" s="37"/>
      <c r="K858" s="37"/>
      <c r="L858" s="139"/>
      <c r="M858" s="37"/>
    </row>
    <row r="859" spans="6:13" x14ac:dyDescent="0.25">
      <c r="F859" s="37"/>
      <c r="G859" s="37"/>
      <c r="H859" s="37"/>
      <c r="I859" s="37"/>
      <c r="J859" s="37"/>
      <c r="K859" s="37"/>
      <c r="L859" s="139"/>
      <c r="M859" s="37"/>
    </row>
  </sheetData>
  <mergeCells count="362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796:H796"/>
    <mergeCell ref="G797:H797"/>
    <mergeCell ref="G798:H798"/>
    <mergeCell ref="G788:H788"/>
    <mergeCell ref="G789:H789"/>
    <mergeCell ref="G790:H790"/>
    <mergeCell ref="G791:H791"/>
    <mergeCell ref="G792:H792"/>
    <mergeCell ref="G827:J827"/>
    <mergeCell ref="G793:H793"/>
    <mergeCell ref="G794:H794"/>
    <mergeCell ref="G795:H795"/>
    <mergeCell ref="G828:J828"/>
    <mergeCell ref="G829:J829"/>
    <mergeCell ref="G830:J830"/>
    <mergeCell ref="G799:H799"/>
    <mergeCell ref="G800:H800"/>
    <mergeCell ref="G801:J801"/>
    <mergeCell ref="G824:J824"/>
    <mergeCell ref="G825:J825"/>
    <mergeCell ref="G826:J826"/>
    <mergeCell ref="F667:I667"/>
    <mergeCell ref="F668:I668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</mergeCells>
  <pageMargins left="0.25" right="0.25" top="0.75" bottom="0.75" header="0.3" footer="0.3"/>
  <pageSetup scale="61" fitToHeight="0" orientation="portrait" r:id="rId1"/>
  <ignoredErrors>
    <ignoredError sqref="I684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Genesis Morel Felix</cp:lastModifiedBy>
  <cp:lastPrinted>2019-09-05T16:45:53Z</cp:lastPrinted>
  <dcterms:created xsi:type="dcterms:W3CDTF">2018-12-05T11:15:03Z</dcterms:created>
  <dcterms:modified xsi:type="dcterms:W3CDTF">2022-08-04T12:09:18Z</dcterms:modified>
</cp:coreProperties>
</file>