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PNE7" sheetId="4" r:id="rId1"/>
  </sheets>
  <externalReferences>
    <externalReference r:id="rId2"/>
  </externalReferences>
  <definedNames>
    <definedName name="_xlnm._FilterDatabase" localSheetId="0" hidden="1">PPNE7!$A$12:$K$261</definedName>
    <definedName name="_xlnm.Print_Titles" localSheetId="0">PPNE7!$12:$13</definedName>
  </definedNames>
  <calcPr calcId="145621"/>
</workbook>
</file>

<file path=xl/calcChain.xml><?xml version="1.0" encoding="utf-8"?>
<calcChain xmlns="http://schemas.openxmlformats.org/spreadsheetml/2006/main">
  <c r="H17" i="4" l="1"/>
  <c r="I17" i="4"/>
  <c r="I16" i="4" s="1"/>
  <c r="M17" i="4"/>
  <c r="M16" i="4" s="1"/>
  <c r="G18" i="4"/>
  <c r="G17" i="4" s="1"/>
  <c r="J18" i="4"/>
  <c r="L18" i="4" s="1"/>
  <c r="L17" i="4" s="1"/>
  <c r="J19" i="4"/>
  <c r="N19" i="4"/>
  <c r="J20" i="4"/>
  <c r="N20" i="4"/>
  <c r="M21" i="4"/>
  <c r="G22" i="4"/>
  <c r="J22" i="4"/>
  <c r="L22" i="4" s="1"/>
  <c r="J23" i="4"/>
  <c r="L23" i="4"/>
  <c r="N23" i="4" s="1"/>
  <c r="G24" i="4"/>
  <c r="I24" i="4"/>
  <c r="J24" i="4"/>
  <c r="L24" i="4" s="1"/>
  <c r="N24" i="4" s="1"/>
  <c r="G25" i="4"/>
  <c r="J25" i="4" s="1"/>
  <c r="H26" i="4"/>
  <c r="J26" i="4"/>
  <c r="L26" i="4" s="1"/>
  <c r="N26" i="4" s="1"/>
  <c r="H27" i="4"/>
  <c r="J27" i="4" s="1"/>
  <c r="H28" i="4"/>
  <c r="J28" i="4"/>
  <c r="H29" i="4"/>
  <c r="J29" i="4"/>
  <c r="M29" i="4"/>
  <c r="M28" i="4" s="1"/>
  <c r="H30" i="4"/>
  <c r="J30" i="4" s="1"/>
  <c r="L30" i="4" s="1"/>
  <c r="L29" i="4" s="1"/>
  <c r="H31" i="4"/>
  <c r="J31" i="4" s="1"/>
  <c r="M31" i="4"/>
  <c r="G32" i="4"/>
  <c r="H32" i="4"/>
  <c r="I32" i="4"/>
  <c r="H33" i="4"/>
  <c r="J33" i="4" s="1"/>
  <c r="L33" i="4" s="1"/>
  <c r="N33" i="4" s="1"/>
  <c r="G34" i="4"/>
  <c r="H34" i="4"/>
  <c r="I34" i="4"/>
  <c r="H35" i="4"/>
  <c r="J35" i="4" s="1"/>
  <c r="L35" i="4" s="1"/>
  <c r="N35" i="4" s="1"/>
  <c r="G36" i="4"/>
  <c r="H36" i="4"/>
  <c r="I36" i="4"/>
  <c r="M36" i="4"/>
  <c r="H37" i="4"/>
  <c r="J37" i="4" s="1"/>
  <c r="H38" i="4"/>
  <c r="J38" i="4" s="1"/>
  <c r="H39" i="4"/>
  <c r="J39" i="4" s="1"/>
  <c r="L39" i="4"/>
  <c r="L38" i="4" s="1"/>
  <c r="N38" i="4" s="1"/>
  <c r="M39" i="4"/>
  <c r="M38" i="4" s="1"/>
  <c r="N39" i="4"/>
  <c r="H40" i="4"/>
  <c r="J40" i="4" s="1"/>
  <c r="N40" i="4"/>
  <c r="G41" i="4"/>
  <c r="H41" i="4"/>
  <c r="I41" i="4"/>
  <c r="J41" i="4"/>
  <c r="H42" i="4"/>
  <c r="J42" i="4" s="1"/>
  <c r="M42" i="4"/>
  <c r="M41" i="4" s="1"/>
  <c r="H43" i="4"/>
  <c r="G44" i="4"/>
  <c r="I44" i="4"/>
  <c r="I43" i="4" s="1"/>
  <c r="J43" i="4" s="1"/>
  <c r="L43" i="4" s="1"/>
  <c r="J44" i="4"/>
  <c r="H45" i="4"/>
  <c r="M45" i="4"/>
  <c r="M44" i="4" s="1"/>
  <c r="G46" i="4"/>
  <c r="I46" i="4"/>
  <c r="J46" i="4"/>
  <c r="L46" i="4"/>
  <c r="G47" i="4"/>
  <c r="J47" i="4" s="1"/>
  <c r="G48" i="4"/>
  <c r="J48" i="4" s="1"/>
  <c r="L48" i="4" s="1"/>
  <c r="N48" i="4" s="1"/>
  <c r="H49" i="4"/>
  <c r="J49" i="4" s="1"/>
  <c r="H50" i="4"/>
  <c r="J50" i="4" s="1"/>
  <c r="M50" i="4"/>
  <c r="H51" i="4"/>
  <c r="J51" i="4" s="1"/>
  <c r="M51" i="4"/>
  <c r="H52" i="4"/>
  <c r="J52" i="4" s="1"/>
  <c r="L52" i="4" s="1"/>
  <c r="N52" i="4" s="1"/>
  <c r="H53" i="4"/>
  <c r="J53" i="4" s="1"/>
  <c r="L53" i="4" s="1"/>
  <c r="N53" i="4" s="1"/>
  <c r="H54" i="4"/>
  <c r="J54" i="4" s="1"/>
  <c r="L54" i="4" s="1"/>
  <c r="N54" i="4" s="1"/>
  <c r="H55" i="4"/>
  <c r="J55" i="4" s="1"/>
  <c r="L55" i="4" s="1"/>
  <c r="N55" i="4" s="1"/>
  <c r="H56" i="4"/>
  <c r="J56" i="4" s="1"/>
  <c r="L56" i="4" s="1"/>
  <c r="N56" i="4" s="1"/>
  <c r="G57" i="4"/>
  <c r="J57" i="4" s="1"/>
  <c r="L57" i="4" s="1"/>
  <c r="N57" i="4" s="1"/>
  <c r="H57" i="4"/>
  <c r="I57" i="4"/>
  <c r="H58" i="4"/>
  <c r="J58" i="4" s="1"/>
  <c r="L58" i="4" s="1"/>
  <c r="N58" i="4" s="1"/>
  <c r="H59" i="4"/>
  <c r="G60" i="4"/>
  <c r="H60" i="4"/>
  <c r="I60" i="4"/>
  <c r="M60" i="4"/>
  <c r="M59" i="4" s="1"/>
  <c r="H61" i="4"/>
  <c r="J61" i="4" s="1"/>
  <c r="H62" i="4"/>
  <c r="J62" i="4" s="1"/>
  <c r="L62" i="4" s="1"/>
  <c r="N62" i="4" s="1"/>
  <c r="G63" i="4"/>
  <c r="H63" i="4"/>
  <c r="I63" i="4"/>
  <c r="H64" i="4"/>
  <c r="J64" i="4" s="1"/>
  <c r="M64" i="4"/>
  <c r="M63" i="4" s="1"/>
  <c r="H65" i="4"/>
  <c r="J65" i="4" s="1"/>
  <c r="H66" i="4"/>
  <c r="G67" i="4"/>
  <c r="G66" i="4" s="1"/>
  <c r="H67" i="4"/>
  <c r="I67" i="4"/>
  <c r="I66" i="4" s="1"/>
  <c r="H68" i="4"/>
  <c r="J68" i="4" s="1"/>
  <c r="M68" i="4"/>
  <c r="M67" i="4" s="1"/>
  <c r="G69" i="4"/>
  <c r="H69" i="4"/>
  <c r="I69" i="4"/>
  <c r="H70" i="4"/>
  <c r="J70" i="4" s="1"/>
  <c r="L70" i="4" s="1"/>
  <c r="N70" i="4" s="1"/>
  <c r="H71" i="4"/>
  <c r="J71" i="4" s="1"/>
  <c r="H72" i="4"/>
  <c r="J72" i="4" s="1"/>
  <c r="L72" i="4" s="1"/>
  <c r="N72" i="4" s="1"/>
  <c r="H73" i="4"/>
  <c r="J73" i="4" s="1"/>
  <c r="H74" i="4"/>
  <c r="M74" i="4"/>
  <c r="M73" i="4" s="1"/>
  <c r="G75" i="4"/>
  <c r="H75" i="4"/>
  <c r="I75" i="4"/>
  <c r="I74" i="4" s="1"/>
  <c r="H76" i="4"/>
  <c r="J76" i="4"/>
  <c r="L76" i="4" s="1"/>
  <c r="N76" i="4" s="1"/>
  <c r="G77" i="4"/>
  <c r="J77" i="4" s="1"/>
  <c r="L77" i="4" s="1"/>
  <c r="N77" i="4" s="1"/>
  <c r="H77" i="4"/>
  <c r="I77" i="4"/>
  <c r="H78" i="4"/>
  <c r="J78" i="4"/>
  <c r="L78" i="4" s="1"/>
  <c r="N78" i="4" s="1"/>
  <c r="G79" i="4"/>
  <c r="J79" i="4" s="1"/>
  <c r="L79" i="4" s="1"/>
  <c r="N79" i="4" s="1"/>
  <c r="H79" i="4"/>
  <c r="I79" i="4"/>
  <c r="H80" i="4"/>
  <c r="J80" i="4"/>
  <c r="L80" i="4" s="1"/>
  <c r="N80" i="4" s="1"/>
  <c r="G81" i="4"/>
  <c r="J81" i="4" s="1"/>
  <c r="L81" i="4" s="1"/>
  <c r="N81" i="4" s="1"/>
  <c r="H81" i="4"/>
  <c r="I81" i="4"/>
  <c r="H82" i="4"/>
  <c r="J82" i="4" s="1"/>
  <c r="H83" i="4"/>
  <c r="M83" i="4"/>
  <c r="M82" i="4" s="1"/>
  <c r="H84" i="4"/>
  <c r="G85" i="4"/>
  <c r="H85" i="4"/>
  <c r="I85" i="4"/>
  <c r="J85" i="4"/>
  <c r="L85" i="4" s="1"/>
  <c r="N85" i="4" s="1"/>
  <c r="H86" i="4"/>
  <c r="J86" i="4" s="1"/>
  <c r="L86" i="4" s="1"/>
  <c r="N86" i="4"/>
  <c r="G87" i="4"/>
  <c r="H87" i="4"/>
  <c r="I87" i="4"/>
  <c r="J87" i="4"/>
  <c r="L87" i="4" s="1"/>
  <c r="N87" i="4" s="1"/>
  <c r="H88" i="4"/>
  <c r="J88" i="4" s="1"/>
  <c r="L88" i="4" s="1"/>
  <c r="N88" i="4"/>
  <c r="G89" i="4"/>
  <c r="H89" i="4"/>
  <c r="I89" i="4"/>
  <c r="J89" i="4"/>
  <c r="H90" i="4"/>
  <c r="J90" i="4"/>
  <c r="M90" i="4"/>
  <c r="G91" i="4"/>
  <c r="J91" i="4" s="1"/>
  <c r="L91" i="4" s="1"/>
  <c r="H91" i="4"/>
  <c r="I91" i="4"/>
  <c r="H92" i="4"/>
  <c r="J92" i="4" s="1"/>
  <c r="G93" i="4"/>
  <c r="J93" i="4" s="1"/>
  <c r="L93" i="4" s="1"/>
  <c r="N93" i="4" s="1"/>
  <c r="H93" i="4"/>
  <c r="I93" i="4"/>
  <c r="H94" i="4"/>
  <c r="J94" i="4" s="1"/>
  <c r="G95" i="4"/>
  <c r="J95" i="4" s="1"/>
  <c r="L95" i="4" s="1"/>
  <c r="N95" i="4" s="1"/>
  <c r="H95" i="4"/>
  <c r="I95" i="4"/>
  <c r="H96" i="4"/>
  <c r="J96" i="4" s="1"/>
  <c r="M96" i="4"/>
  <c r="H97" i="4"/>
  <c r="J97" i="4" s="1"/>
  <c r="G98" i="4"/>
  <c r="J98" i="4" s="1"/>
  <c r="L98" i="4" s="1"/>
  <c r="N98" i="4" s="1"/>
  <c r="H98" i="4"/>
  <c r="I98" i="4"/>
  <c r="H99" i="4"/>
  <c r="J99" i="4" s="1"/>
  <c r="G100" i="4"/>
  <c r="J100" i="4" s="1"/>
  <c r="L100" i="4" s="1"/>
  <c r="N100" i="4" s="1"/>
  <c r="H100" i="4"/>
  <c r="I100" i="4"/>
  <c r="H101" i="4"/>
  <c r="J101" i="4" s="1"/>
  <c r="H102" i="4"/>
  <c r="G103" i="4"/>
  <c r="H103" i="4"/>
  <c r="I103" i="4"/>
  <c r="I102" i="4" s="1"/>
  <c r="M103" i="4"/>
  <c r="H104" i="4"/>
  <c r="J104" i="4" s="1"/>
  <c r="G105" i="4"/>
  <c r="J105" i="4" s="1"/>
  <c r="L105" i="4" s="1"/>
  <c r="N105" i="4" s="1"/>
  <c r="H105" i="4"/>
  <c r="I105" i="4"/>
  <c r="H106" i="4"/>
  <c r="J106" i="4" s="1"/>
  <c r="H107" i="4"/>
  <c r="G108" i="4"/>
  <c r="H108" i="4"/>
  <c r="I108" i="4"/>
  <c r="I107" i="4" s="1"/>
  <c r="H109" i="4"/>
  <c r="J109" i="4" s="1"/>
  <c r="L109" i="4" s="1"/>
  <c r="N109" i="4" s="1"/>
  <c r="G110" i="4"/>
  <c r="H110" i="4"/>
  <c r="I110" i="4"/>
  <c r="H111" i="4"/>
  <c r="J111" i="4" s="1"/>
  <c r="L111" i="4" s="1"/>
  <c r="N111" i="4" s="1"/>
  <c r="H112" i="4"/>
  <c r="G113" i="4"/>
  <c r="J113" i="4" s="1"/>
  <c r="L113" i="4" s="1"/>
  <c r="N113" i="4" s="1"/>
  <c r="H113" i="4"/>
  <c r="I113" i="4"/>
  <c r="H114" i="4"/>
  <c r="J114" i="4" s="1"/>
  <c r="G115" i="4"/>
  <c r="J115" i="4" s="1"/>
  <c r="L115" i="4" s="1"/>
  <c r="N115" i="4" s="1"/>
  <c r="H115" i="4"/>
  <c r="I115" i="4"/>
  <c r="H116" i="4"/>
  <c r="J116" i="4" s="1"/>
  <c r="G117" i="4"/>
  <c r="J117" i="4" s="1"/>
  <c r="L117" i="4" s="1"/>
  <c r="N117" i="4" s="1"/>
  <c r="H117" i="4"/>
  <c r="I117" i="4"/>
  <c r="H118" i="4"/>
  <c r="J118" i="4" s="1"/>
  <c r="G119" i="4"/>
  <c r="G112" i="4" s="1"/>
  <c r="H119" i="4"/>
  <c r="I119" i="4"/>
  <c r="I112" i="4" s="1"/>
  <c r="H120" i="4"/>
  <c r="J120" i="4" s="1"/>
  <c r="M120" i="4"/>
  <c r="M119" i="4" s="1"/>
  <c r="H121" i="4"/>
  <c r="G122" i="4"/>
  <c r="J122" i="4" s="1"/>
  <c r="L122" i="4" s="1"/>
  <c r="N122" i="4" s="1"/>
  <c r="H122" i="4"/>
  <c r="I122" i="4"/>
  <c r="H123" i="4"/>
  <c r="J123" i="4" s="1"/>
  <c r="G124" i="4"/>
  <c r="J124" i="4" s="1"/>
  <c r="L124" i="4" s="1"/>
  <c r="N124" i="4" s="1"/>
  <c r="H124" i="4"/>
  <c r="I124" i="4"/>
  <c r="H125" i="4"/>
  <c r="J125" i="4" s="1"/>
  <c r="G126" i="4"/>
  <c r="J126" i="4" s="1"/>
  <c r="L126" i="4" s="1"/>
  <c r="N126" i="4" s="1"/>
  <c r="H126" i="4"/>
  <c r="I126" i="4"/>
  <c r="H127" i="4"/>
  <c r="J127" i="4" s="1"/>
  <c r="H128" i="4"/>
  <c r="J128" i="4" s="1"/>
  <c r="M128" i="4"/>
  <c r="M127" i="4" s="1"/>
  <c r="H129" i="4"/>
  <c r="J129" i="4" s="1"/>
  <c r="L129" i="4" s="1"/>
  <c r="N129" i="4" s="1"/>
  <c r="H130" i="4"/>
  <c r="J130" i="4" s="1"/>
  <c r="H131" i="4"/>
  <c r="J131" i="4" s="1"/>
  <c r="L131" i="4" s="1"/>
  <c r="N131" i="4" s="1"/>
  <c r="G132" i="4"/>
  <c r="J132" i="4" s="1"/>
  <c r="L132" i="4" s="1"/>
  <c r="N132" i="4" s="1"/>
  <c r="H132" i="4"/>
  <c r="I132" i="4"/>
  <c r="H133" i="4"/>
  <c r="J133" i="4" s="1"/>
  <c r="M133" i="4"/>
  <c r="G134" i="4"/>
  <c r="H134" i="4"/>
  <c r="I134" i="4"/>
  <c r="I121" i="4" s="1"/>
  <c r="M134" i="4"/>
  <c r="H135" i="4"/>
  <c r="J135" i="4" s="1"/>
  <c r="L135" i="4" s="1"/>
  <c r="N135" i="4" s="1"/>
  <c r="G136" i="4"/>
  <c r="J136" i="4" s="1"/>
  <c r="L136" i="4" s="1"/>
  <c r="N136" i="4" s="1"/>
  <c r="H136" i="4"/>
  <c r="I136" i="4"/>
  <c r="H137" i="4"/>
  <c r="J137" i="4" s="1"/>
  <c r="L137" i="4" s="1"/>
  <c r="N137" i="4" s="1"/>
  <c r="G138" i="4"/>
  <c r="J138" i="4" s="1"/>
  <c r="L138" i="4" s="1"/>
  <c r="N138" i="4" s="1"/>
  <c r="H138" i="4"/>
  <c r="I138" i="4"/>
  <c r="H139" i="4"/>
  <c r="J139" i="4" s="1"/>
  <c r="L139" i="4" s="1"/>
  <c r="N139" i="4" s="1"/>
  <c r="G140" i="4"/>
  <c r="J140" i="4" s="1"/>
  <c r="L140" i="4" s="1"/>
  <c r="N140" i="4" s="1"/>
  <c r="H140" i="4"/>
  <c r="I140" i="4"/>
  <c r="H141" i="4"/>
  <c r="J141" i="4" s="1"/>
  <c r="M141" i="4"/>
  <c r="H142" i="4"/>
  <c r="M142" i="4"/>
  <c r="G143" i="4"/>
  <c r="H143" i="4"/>
  <c r="I143" i="4"/>
  <c r="I142" i="4" s="1"/>
  <c r="H144" i="4"/>
  <c r="J144" i="4"/>
  <c r="G145" i="4"/>
  <c r="H145" i="4"/>
  <c r="I145" i="4"/>
  <c r="M145" i="4"/>
  <c r="H146" i="4"/>
  <c r="J146" i="4" s="1"/>
  <c r="M146" i="4"/>
  <c r="G147" i="4"/>
  <c r="H147" i="4"/>
  <c r="I147" i="4"/>
  <c r="H148" i="4"/>
  <c r="J148" i="4" s="1"/>
  <c r="G149" i="4"/>
  <c r="H149" i="4"/>
  <c r="I149" i="4"/>
  <c r="H150" i="4"/>
  <c r="J150" i="4"/>
  <c r="G151" i="4"/>
  <c r="H151" i="4"/>
  <c r="I151" i="4"/>
  <c r="H152" i="4"/>
  <c r="J152" i="4" s="1"/>
  <c r="G153" i="4"/>
  <c r="J153" i="4" s="1"/>
  <c r="H153" i="4"/>
  <c r="I153" i="4"/>
  <c r="M153" i="4"/>
  <c r="H154" i="4"/>
  <c r="J154" i="4"/>
  <c r="L154" i="4" s="1"/>
  <c r="N154" i="4" s="1"/>
  <c r="G155" i="4"/>
  <c r="H155" i="4"/>
  <c r="I155" i="4"/>
  <c r="H156" i="4"/>
  <c r="J156" i="4"/>
  <c r="L156" i="4" s="1"/>
  <c r="N156" i="4" s="1"/>
  <c r="G157" i="4"/>
  <c r="H157" i="4"/>
  <c r="I157" i="4"/>
  <c r="H158" i="4"/>
  <c r="J158" i="4"/>
  <c r="L158" i="4" s="1"/>
  <c r="N158" i="4" s="1"/>
  <c r="G159" i="4"/>
  <c r="H159" i="4"/>
  <c r="I159" i="4"/>
  <c r="M159" i="4"/>
  <c r="H160" i="4"/>
  <c r="J160" i="4" s="1"/>
  <c r="H161" i="4"/>
  <c r="G162" i="4"/>
  <c r="H162" i="4"/>
  <c r="I162" i="4"/>
  <c r="I161" i="4" s="1"/>
  <c r="H163" i="4"/>
  <c r="J163" i="4"/>
  <c r="M163" i="4"/>
  <c r="H164" i="4"/>
  <c r="J164" i="4" s="1"/>
  <c r="L164" i="4" s="1"/>
  <c r="N164" i="4" s="1"/>
  <c r="H165" i="4"/>
  <c r="J165" i="4" s="1"/>
  <c r="H166" i="4"/>
  <c r="J166" i="4" s="1"/>
  <c r="L166" i="4"/>
  <c r="N166" i="4" s="1"/>
  <c r="H167" i="4"/>
  <c r="J167" i="4" s="1"/>
  <c r="H168" i="4"/>
  <c r="J168" i="4" s="1"/>
  <c r="M168" i="4"/>
  <c r="H169" i="4"/>
  <c r="J169" i="4"/>
  <c r="L169" i="4" s="1"/>
  <c r="N169" i="4" s="1"/>
  <c r="G170" i="4"/>
  <c r="J170" i="4" s="1"/>
  <c r="L170" i="4" s="1"/>
  <c r="N170" i="4" s="1"/>
  <c r="H170" i="4"/>
  <c r="I170" i="4"/>
  <c r="H171" i="4"/>
  <c r="J171" i="4"/>
  <c r="L171" i="4" s="1"/>
  <c r="N171" i="4" s="1"/>
  <c r="H172" i="4"/>
  <c r="J172" i="4" s="1"/>
  <c r="H173" i="4"/>
  <c r="J173" i="4" s="1"/>
  <c r="M173" i="4"/>
  <c r="M172" i="4" s="1"/>
  <c r="H174" i="4"/>
  <c r="J174" i="4" s="1"/>
  <c r="H175" i="4"/>
  <c r="J175" i="4" s="1"/>
  <c r="L175" i="4" s="1"/>
  <c r="N175" i="4" s="1"/>
  <c r="H176" i="4"/>
  <c r="J176" i="4" s="1"/>
  <c r="G177" i="4"/>
  <c r="J177" i="4" s="1"/>
  <c r="H177" i="4"/>
  <c r="I177" i="4"/>
  <c r="L177" i="4"/>
  <c r="N177" i="4" s="1"/>
  <c r="H178" i="4"/>
  <c r="J178" i="4" s="1"/>
  <c r="H179" i="4"/>
  <c r="M179" i="4"/>
  <c r="G180" i="4"/>
  <c r="J180" i="4" s="1"/>
  <c r="L180" i="4" s="1"/>
  <c r="N180" i="4" s="1"/>
  <c r="H180" i="4"/>
  <c r="I180" i="4"/>
  <c r="H181" i="4"/>
  <c r="J181" i="4" s="1"/>
  <c r="G182" i="4"/>
  <c r="J182" i="4" s="1"/>
  <c r="H182" i="4"/>
  <c r="I182" i="4"/>
  <c r="L182" i="4"/>
  <c r="N182" i="4" s="1"/>
  <c r="H183" i="4"/>
  <c r="J183" i="4" s="1"/>
  <c r="L183" i="4" s="1"/>
  <c r="N183" i="4"/>
  <c r="G184" i="4"/>
  <c r="H184" i="4"/>
  <c r="I184" i="4"/>
  <c r="J184" i="4"/>
  <c r="L184" i="4" s="1"/>
  <c r="N184" i="4" s="1"/>
  <c r="H185" i="4"/>
  <c r="J185" i="4" s="1"/>
  <c r="L185" i="4" s="1"/>
  <c r="N185" i="4" s="1"/>
  <c r="G186" i="4"/>
  <c r="J186" i="4" s="1"/>
  <c r="H186" i="4"/>
  <c r="I186" i="4"/>
  <c r="H187" i="4"/>
  <c r="J187" i="4" s="1"/>
  <c r="M187" i="4"/>
  <c r="M186" i="4" s="1"/>
  <c r="G188" i="4"/>
  <c r="H188" i="4"/>
  <c r="I188" i="4"/>
  <c r="J188" i="4"/>
  <c r="L188" i="4" s="1"/>
  <c r="H189" i="4"/>
  <c r="J189" i="4" s="1"/>
  <c r="L189" i="4" s="1"/>
  <c r="N189" i="4"/>
  <c r="H190" i="4"/>
  <c r="J190" i="4"/>
  <c r="L190" i="4" s="1"/>
  <c r="N190" i="4" s="1"/>
  <c r="H191" i="4"/>
  <c r="J191" i="4" s="1"/>
  <c r="L191" i="4" s="1"/>
  <c r="N191" i="4"/>
  <c r="G192" i="4"/>
  <c r="H192" i="4"/>
  <c r="I192" i="4"/>
  <c r="J192" i="4"/>
  <c r="L192" i="4" s="1"/>
  <c r="N192" i="4" s="1"/>
  <c r="H193" i="4"/>
  <c r="J193" i="4" s="1"/>
  <c r="L193" i="4" s="1"/>
  <c r="N193" i="4"/>
  <c r="H194" i="4"/>
  <c r="J194" i="4"/>
  <c r="L194" i="4" s="1"/>
  <c r="N194" i="4" s="1"/>
  <c r="H195" i="4"/>
  <c r="J195" i="4" s="1"/>
  <c r="L195" i="4" s="1"/>
  <c r="N195" i="4"/>
  <c r="H196" i="4"/>
  <c r="J196" i="4"/>
  <c r="G197" i="4"/>
  <c r="H197" i="4"/>
  <c r="I197" i="4"/>
  <c r="J197" i="4"/>
  <c r="M197" i="4"/>
  <c r="M196" i="4" s="1"/>
  <c r="H198" i="4"/>
  <c r="J198" i="4" s="1"/>
  <c r="L198" i="4"/>
  <c r="N198" i="4" s="1"/>
  <c r="H200" i="4"/>
  <c r="J200" i="4" s="1"/>
  <c r="L200" i="4" s="1"/>
  <c r="N200" i="4"/>
  <c r="H201" i="4"/>
  <c r="J201" i="4"/>
  <c r="H202" i="4"/>
  <c r="J202" i="4" s="1"/>
  <c r="H203" i="4"/>
  <c r="J203" i="4" s="1"/>
  <c r="L203" i="4"/>
  <c r="H204" i="4"/>
  <c r="J204" i="4" s="1"/>
  <c r="G205" i="4"/>
  <c r="J205" i="4" s="1"/>
  <c r="L205" i="4" s="1"/>
  <c r="H205" i="4"/>
  <c r="I205" i="4"/>
  <c r="H206" i="4"/>
  <c r="J206" i="4" s="1"/>
  <c r="H207" i="4"/>
  <c r="J207" i="4" s="1"/>
  <c r="L207" i="4"/>
  <c r="G209" i="4"/>
  <c r="H209" i="4"/>
  <c r="I209" i="4"/>
  <c r="M209" i="4"/>
  <c r="H210" i="4"/>
  <c r="J210" i="4" s="1"/>
  <c r="H211" i="4"/>
  <c r="J211" i="4" s="1"/>
  <c r="L211" i="4" s="1"/>
  <c r="H212" i="4"/>
  <c r="J212" i="4" s="1"/>
  <c r="L212" i="4" s="1"/>
  <c r="N212" i="4"/>
  <c r="H213" i="4"/>
  <c r="J213" i="4"/>
  <c r="L213" i="4" s="1"/>
  <c r="N213" i="4" s="1"/>
  <c r="H214" i="4"/>
  <c r="J214" i="4" s="1"/>
  <c r="L214" i="4" s="1"/>
  <c r="N214" i="4" s="1"/>
  <c r="H215" i="4"/>
  <c r="J215" i="4"/>
  <c r="L215" i="4" s="1"/>
  <c r="N215" i="4" s="1"/>
  <c r="H216" i="4"/>
  <c r="G217" i="4"/>
  <c r="J217" i="4" s="1"/>
  <c r="H217" i="4"/>
  <c r="I217" i="4"/>
  <c r="M217" i="4"/>
  <c r="M216" i="4" s="1"/>
  <c r="H218" i="4"/>
  <c r="J218" i="4"/>
  <c r="L218" i="4" s="1"/>
  <c r="N218" i="4" s="1"/>
  <c r="H219" i="4"/>
  <c r="J219" i="4" s="1"/>
  <c r="L219" i="4" s="1"/>
  <c r="N219" i="4" s="1"/>
  <c r="G220" i="4"/>
  <c r="J220" i="4" s="1"/>
  <c r="L220" i="4" s="1"/>
  <c r="N220" i="4" s="1"/>
  <c r="H220" i="4"/>
  <c r="I220" i="4"/>
  <c r="H221" i="4"/>
  <c r="J221" i="4" s="1"/>
  <c r="M221" i="4"/>
  <c r="G222" i="4"/>
  <c r="H222" i="4"/>
  <c r="I222" i="4"/>
  <c r="M222" i="4"/>
  <c r="H223" i="4"/>
  <c r="J223" i="4" s="1"/>
  <c r="L223" i="4" s="1"/>
  <c r="L222" i="4" s="1"/>
  <c r="H224" i="4"/>
  <c r="J224" i="4" s="1"/>
  <c r="H225" i="4"/>
  <c r="J225" i="4"/>
  <c r="G226" i="4"/>
  <c r="H226" i="4"/>
  <c r="I226" i="4"/>
  <c r="J226" i="4"/>
  <c r="M226" i="4"/>
  <c r="M225" i="4" s="1"/>
  <c r="H227" i="4"/>
  <c r="J227" i="4" s="1"/>
  <c r="L227" i="4" s="1"/>
  <c r="N227" i="4" s="1"/>
  <c r="H228" i="4"/>
  <c r="G229" i="4"/>
  <c r="J229" i="4" s="1"/>
  <c r="H229" i="4"/>
  <c r="I229" i="4"/>
  <c r="H230" i="4"/>
  <c r="J230" i="4" s="1"/>
  <c r="M230" i="4"/>
  <c r="M229" i="4" s="1"/>
  <c r="G231" i="4"/>
  <c r="H231" i="4"/>
  <c r="I231" i="4"/>
  <c r="J231" i="4"/>
  <c r="L231" i="4" s="1"/>
  <c r="N231" i="4" s="1"/>
  <c r="H232" i="4"/>
  <c r="J232" i="4" s="1"/>
  <c r="M232" i="4"/>
  <c r="G233" i="4"/>
  <c r="J233" i="4" s="1"/>
  <c r="L233" i="4" s="1"/>
  <c r="H233" i="4"/>
  <c r="I233" i="4"/>
  <c r="I228" i="4" s="1"/>
  <c r="H234" i="4"/>
  <c r="J234" i="4"/>
  <c r="L234" i="4" s="1"/>
  <c r="N234" i="4" s="1"/>
  <c r="G235" i="4"/>
  <c r="J235" i="4" s="1"/>
  <c r="L235" i="4" s="1"/>
  <c r="N235" i="4" s="1"/>
  <c r="H235" i="4"/>
  <c r="I235" i="4"/>
  <c r="H236" i="4"/>
  <c r="J236" i="4"/>
  <c r="L236" i="4" s="1"/>
  <c r="N236" i="4" s="1"/>
  <c r="H237" i="4"/>
  <c r="G238" i="4"/>
  <c r="H238" i="4"/>
  <c r="I238" i="4"/>
  <c r="J238" i="4"/>
  <c r="L238" i="4" s="1"/>
  <c r="N238" i="4" s="1"/>
  <c r="H239" i="4"/>
  <c r="J239" i="4" s="1"/>
  <c r="G240" i="4"/>
  <c r="H240" i="4"/>
  <c r="I240" i="4"/>
  <c r="I237" i="4" s="1"/>
  <c r="M240" i="4"/>
  <c r="M239" i="4" s="1"/>
  <c r="H241" i="4"/>
  <c r="J241" i="4" s="1"/>
  <c r="G242" i="4"/>
  <c r="J242" i="4" s="1"/>
  <c r="H242" i="4"/>
  <c r="I242" i="4"/>
  <c r="M242" i="4"/>
  <c r="H243" i="4"/>
  <c r="J243" i="4"/>
  <c r="L243" i="4" s="1"/>
  <c r="N243" i="4" s="1"/>
  <c r="G244" i="4"/>
  <c r="J244" i="4" s="1"/>
  <c r="H244" i="4"/>
  <c r="I244" i="4"/>
  <c r="M244" i="4"/>
  <c r="H245" i="4"/>
  <c r="J245" i="4" s="1"/>
  <c r="G246" i="4"/>
  <c r="H246" i="4"/>
  <c r="I246" i="4"/>
  <c r="J246" i="4"/>
  <c r="H247" i="4"/>
  <c r="J247" i="4"/>
  <c r="M247" i="4"/>
  <c r="M246" i="4" s="1"/>
  <c r="G248" i="4"/>
  <c r="J248" i="4" s="1"/>
  <c r="L248" i="4" s="1"/>
  <c r="N248" i="4" s="1"/>
  <c r="H248" i="4"/>
  <c r="I248" i="4"/>
  <c r="H249" i="4"/>
  <c r="J249" i="4" s="1"/>
  <c r="M249" i="4"/>
  <c r="H250" i="4"/>
  <c r="I250" i="4"/>
  <c r="G251" i="4"/>
  <c r="G250" i="4" s="1"/>
  <c r="J250" i="4" s="1"/>
  <c r="L250" i="4" s="1"/>
  <c r="H251" i="4"/>
  <c r="I251" i="4"/>
  <c r="H252" i="4"/>
  <c r="J252" i="4" s="1"/>
  <c r="G253" i="4"/>
  <c r="H253" i="4"/>
  <c r="J253" i="4" s="1"/>
  <c r="I253" i="4"/>
  <c r="H254" i="4"/>
  <c r="J254" i="4" s="1"/>
  <c r="H255" i="4"/>
  <c r="J255" i="4"/>
  <c r="L255" i="4" s="1"/>
  <c r="L254" i="4" s="1"/>
  <c r="G256" i="4"/>
  <c r="J256" i="4" s="1"/>
  <c r="H256" i="4"/>
  <c r="I256" i="4"/>
  <c r="H257" i="4"/>
  <c r="J257" i="4"/>
  <c r="L257" i="4" s="1"/>
  <c r="L256" i="4" s="1"/>
  <c r="N256" i="4" s="1"/>
  <c r="G258" i="4"/>
  <c r="J258" i="4" s="1"/>
  <c r="H258" i="4"/>
  <c r="I258" i="4"/>
  <c r="H259" i="4"/>
  <c r="J259" i="4"/>
  <c r="L259" i="4" s="1"/>
  <c r="L258" i="4" s="1"/>
  <c r="N258" i="4" s="1"/>
  <c r="G260" i="4"/>
  <c r="J260" i="4" s="1"/>
  <c r="H260" i="4"/>
  <c r="I260" i="4"/>
  <c r="M260" i="4"/>
  <c r="H261" i="4"/>
  <c r="J261" i="4" s="1"/>
  <c r="J251" i="4" l="1"/>
  <c r="J240" i="4"/>
  <c r="H208" i="4"/>
  <c r="J208" i="4" s="1"/>
  <c r="G161" i="4"/>
  <c r="G74" i="4"/>
  <c r="G21" i="4"/>
  <c r="J110" i="4"/>
  <c r="L110" i="4" s="1"/>
  <c r="N110" i="4" s="1"/>
  <c r="G107" i="4"/>
  <c r="G102" i="4"/>
  <c r="J69" i="4"/>
  <c r="L69" i="4" s="1"/>
  <c r="J63" i="4"/>
  <c r="J60" i="4"/>
  <c r="G45" i="4"/>
  <c r="J45" i="4" s="1"/>
  <c r="J36" i="4"/>
  <c r="J34" i="4"/>
  <c r="L34" i="4" s="1"/>
  <c r="N34" i="4" s="1"/>
  <c r="J32" i="4"/>
  <c r="L32" i="4" s="1"/>
  <c r="H21" i="4"/>
  <c r="L249" i="4"/>
  <c r="N249" i="4" s="1"/>
  <c r="N250" i="4"/>
  <c r="L261" i="4"/>
  <c r="L252" i="4"/>
  <c r="L245" i="4"/>
  <c r="L232" i="4"/>
  <c r="N232" i="4" s="1"/>
  <c r="N233" i="4"/>
  <c r="L224" i="4"/>
  <c r="N224" i="4" s="1"/>
  <c r="L253" i="4"/>
  <c r="N253" i="4" s="1"/>
  <c r="N254" i="4"/>
  <c r="L241" i="4"/>
  <c r="M208" i="4"/>
  <c r="N188" i="4"/>
  <c r="L187" i="4"/>
  <c r="L247" i="4"/>
  <c r="L242" i="4"/>
  <c r="N242" i="4" s="1"/>
  <c r="G237" i="4"/>
  <c r="J237" i="4" s="1"/>
  <c r="L237" i="4" s="1"/>
  <c r="N237" i="4" s="1"/>
  <c r="L230" i="4"/>
  <c r="G228" i="4"/>
  <c r="J228" i="4" s="1"/>
  <c r="L228" i="4" s="1"/>
  <c r="N228" i="4" s="1"/>
  <c r="L226" i="4"/>
  <c r="N222" i="4"/>
  <c r="L217" i="4"/>
  <c r="I216" i="4"/>
  <c r="G216" i="4"/>
  <c r="J216" i="4" s="1"/>
  <c r="L197" i="4"/>
  <c r="L181" i="4"/>
  <c r="N181" i="4" s="1"/>
  <c r="L178" i="4"/>
  <c r="N178" i="4" s="1"/>
  <c r="L176" i="4"/>
  <c r="N176" i="4" s="1"/>
  <c r="L174" i="4"/>
  <c r="L167" i="4"/>
  <c r="N167" i="4" s="1"/>
  <c r="L165" i="4"/>
  <c r="N165" i="4" s="1"/>
  <c r="N259" i="4"/>
  <c r="N257" i="4"/>
  <c r="N255" i="4"/>
  <c r="N223" i="4"/>
  <c r="J222" i="4"/>
  <c r="L210" i="4"/>
  <c r="N211" i="4"/>
  <c r="J209" i="4"/>
  <c r="L206" i="4"/>
  <c r="N206" i="4" s="1"/>
  <c r="N207" i="4"/>
  <c r="L204" i="4"/>
  <c r="N204" i="4" s="1"/>
  <c r="N205" i="4"/>
  <c r="L202" i="4"/>
  <c r="N203" i="4"/>
  <c r="I179" i="4"/>
  <c r="G179" i="4"/>
  <c r="J179" i="4" s="1"/>
  <c r="J161" i="4"/>
  <c r="L161" i="4" s="1"/>
  <c r="N161" i="4" s="1"/>
  <c r="L160" i="4"/>
  <c r="L179" i="4"/>
  <c r="N179" i="4" s="1"/>
  <c r="L168" i="4"/>
  <c r="N168" i="4" s="1"/>
  <c r="M152" i="4"/>
  <c r="J151" i="4"/>
  <c r="L151" i="4" s="1"/>
  <c r="N151" i="4" s="1"/>
  <c r="J149" i="4"/>
  <c r="L149" i="4" s="1"/>
  <c r="N149" i="4" s="1"/>
  <c r="J147" i="4"/>
  <c r="L147" i="4" s="1"/>
  <c r="J145" i="4"/>
  <c r="J143" i="4"/>
  <c r="L143" i="4" s="1"/>
  <c r="L134" i="4"/>
  <c r="L125" i="4"/>
  <c r="N125" i="4" s="1"/>
  <c r="L123" i="4"/>
  <c r="N123" i="4" s="1"/>
  <c r="L116" i="4"/>
  <c r="N116" i="4" s="1"/>
  <c r="L114" i="4"/>
  <c r="N114" i="4" s="1"/>
  <c r="J107" i="4"/>
  <c r="L107" i="4" s="1"/>
  <c r="N107" i="4" s="1"/>
  <c r="L106" i="4"/>
  <c r="N106" i="4" s="1"/>
  <c r="L104" i="4"/>
  <c r="J102" i="4"/>
  <c r="L102" i="4" s="1"/>
  <c r="N102" i="4" s="1"/>
  <c r="L101" i="4"/>
  <c r="N101" i="4" s="1"/>
  <c r="L99" i="4"/>
  <c r="N99" i="4" s="1"/>
  <c r="L97" i="4"/>
  <c r="L94" i="4"/>
  <c r="N94" i="4" s="1"/>
  <c r="L92" i="4"/>
  <c r="N92" i="4" s="1"/>
  <c r="J162" i="4"/>
  <c r="L162" i="4" s="1"/>
  <c r="N162" i="4" s="1"/>
  <c r="J159" i="4"/>
  <c r="J157" i="4"/>
  <c r="L157" i="4" s="1"/>
  <c r="N157" i="4" s="1"/>
  <c r="J155" i="4"/>
  <c r="L155" i="4" s="1"/>
  <c r="N155" i="4" s="1"/>
  <c r="L153" i="4"/>
  <c r="L150" i="4"/>
  <c r="N150" i="4" s="1"/>
  <c r="L148" i="4"/>
  <c r="N148" i="4" s="1"/>
  <c r="L144" i="4"/>
  <c r="N144" i="4" s="1"/>
  <c r="G142" i="4"/>
  <c r="J142" i="4" s="1"/>
  <c r="G121" i="4"/>
  <c r="J121" i="4" s="1"/>
  <c r="L121" i="4" s="1"/>
  <c r="J134" i="4"/>
  <c r="L130" i="4"/>
  <c r="N130" i="4" s="1"/>
  <c r="M118" i="4"/>
  <c r="J112" i="4"/>
  <c r="L112" i="4" s="1"/>
  <c r="N112" i="4" s="1"/>
  <c r="L90" i="4"/>
  <c r="J119" i="4"/>
  <c r="J108" i="4"/>
  <c r="L108" i="4" s="1"/>
  <c r="N108" i="4" s="1"/>
  <c r="J103" i="4"/>
  <c r="N91" i="4"/>
  <c r="I84" i="4"/>
  <c r="I83" i="4" s="1"/>
  <c r="G84" i="4"/>
  <c r="M89" i="4"/>
  <c r="M49" i="4" s="1"/>
  <c r="L71" i="4"/>
  <c r="N71" i="4" s="1"/>
  <c r="N69" i="4"/>
  <c r="L68" i="4"/>
  <c r="L61" i="4"/>
  <c r="J74" i="4"/>
  <c r="J66" i="4"/>
  <c r="L66" i="4" s="1"/>
  <c r="N66" i="4" s="1"/>
  <c r="L65" i="4"/>
  <c r="J75" i="4"/>
  <c r="L75" i="4" s="1"/>
  <c r="J67" i="4"/>
  <c r="L47" i="4"/>
  <c r="N47" i="4" s="1"/>
  <c r="L42" i="4"/>
  <c r="N43" i="4"/>
  <c r="L37" i="4"/>
  <c r="N32" i="4"/>
  <c r="L31" i="4"/>
  <c r="N31" i="4" s="1"/>
  <c r="N17" i="4"/>
  <c r="J17" i="4"/>
  <c r="G16" i="4"/>
  <c r="G15" i="4" s="1"/>
  <c r="I15" i="4"/>
  <c r="I14" i="4" s="1"/>
  <c r="I59" i="4"/>
  <c r="G59" i="4"/>
  <c r="J59" i="4" s="1"/>
  <c r="L51" i="4"/>
  <c r="L45" i="4"/>
  <c r="N29" i="4"/>
  <c r="L27" i="4"/>
  <c r="N27" i="4" s="1"/>
  <c r="L25" i="4"/>
  <c r="N25" i="4" s="1"/>
  <c r="M15" i="4"/>
  <c r="H16" i="4"/>
  <c r="H15" i="4" s="1"/>
  <c r="H14" i="4" s="1"/>
  <c r="N30" i="4"/>
  <c r="N22" i="4"/>
  <c r="N18" i="4"/>
  <c r="N46" i="4"/>
  <c r="J21" i="4" l="1"/>
  <c r="J16" i="4"/>
  <c r="N61" i="4"/>
  <c r="L60" i="4"/>
  <c r="N90" i="4"/>
  <c r="M14" i="4"/>
  <c r="L50" i="4"/>
  <c r="N51" i="4"/>
  <c r="G14" i="4"/>
  <c r="J14" i="4" s="1"/>
  <c r="J15" i="4"/>
  <c r="L21" i="4"/>
  <c r="L41" i="4"/>
  <c r="N41" i="4" s="1"/>
  <c r="N42" i="4"/>
  <c r="N75" i="4"/>
  <c r="L74" i="4"/>
  <c r="J84" i="4"/>
  <c r="L84" i="4" s="1"/>
  <c r="G83" i="4"/>
  <c r="J83" i="4" s="1"/>
  <c r="N121" i="4"/>
  <c r="L120" i="4"/>
  <c r="L152" i="4"/>
  <c r="N152" i="4" s="1"/>
  <c r="N153" i="4"/>
  <c r="N104" i="4"/>
  <c r="L103" i="4"/>
  <c r="N103" i="4" s="1"/>
  <c r="L142" i="4"/>
  <c r="N143" i="4"/>
  <c r="L163" i="4"/>
  <c r="N163" i="4" s="1"/>
  <c r="L209" i="4"/>
  <c r="N210" i="4"/>
  <c r="L196" i="4"/>
  <c r="N196" i="4" s="1"/>
  <c r="N197" i="4"/>
  <c r="L221" i="4"/>
  <c r="N221" i="4" s="1"/>
  <c r="N247" i="4"/>
  <c r="L240" i="4"/>
  <c r="N241" i="4"/>
  <c r="L251" i="4"/>
  <c r="N251" i="4" s="1"/>
  <c r="N252" i="4"/>
  <c r="N45" i="4"/>
  <c r="L44" i="4"/>
  <c r="N44" i="4" s="1"/>
  <c r="N37" i="4"/>
  <c r="L36" i="4"/>
  <c r="N36" i="4" s="1"/>
  <c r="N65" i="4"/>
  <c r="L64" i="4"/>
  <c r="L67" i="4"/>
  <c r="N67" i="4" s="1"/>
  <c r="N68" i="4"/>
  <c r="N97" i="4"/>
  <c r="L96" i="4"/>
  <c r="N96" i="4" s="1"/>
  <c r="L128" i="4"/>
  <c r="L133" i="4"/>
  <c r="N133" i="4" s="1"/>
  <c r="N134" i="4"/>
  <c r="L146" i="4"/>
  <c r="N147" i="4"/>
  <c r="L159" i="4"/>
  <c r="N159" i="4" s="1"/>
  <c r="N160" i="4"/>
  <c r="L201" i="4"/>
  <c r="N201" i="4" s="1"/>
  <c r="N202" i="4"/>
  <c r="L173" i="4"/>
  <c r="N174" i="4"/>
  <c r="L216" i="4"/>
  <c r="N216" i="4" s="1"/>
  <c r="N217" i="4"/>
  <c r="L225" i="4"/>
  <c r="N225" i="4" s="1"/>
  <c r="N226" i="4"/>
  <c r="L229" i="4"/>
  <c r="N229" i="4" s="1"/>
  <c r="N230" i="4"/>
  <c r="L186" i="4"/>
  <c r="N186" i="4" s="1"/>
  <c r="N187" i="4"/>
  <c r="L244" i="4"/>
  <c r="N244" i="4" s="1"/>
  <c r="N245" i="4"/>
  <c r="L260" i="4"/>
  <c r="N260" i="4" s="1"/>
  <c r="N261" i="4"/>
  <c r="L172" i="4" l="1"/>
  <c r="N172" i="4" s="1"/>
  <c r="N173" i="4"/>
  <c r="L145" i="4"/>
  <c r="N145" i="4" s="1"/>
  <c r="N146" i="4"/>
  <c r="L63" i="4"/>
  <c r="N63" i="4" s="1"/>
  <c r="N64" i="4"/>
  <c r="L127" i="4"/>
  <c r="N127" i="4" s="1"/>
  <c r="N128" i="4"/>
  <c r="L239" i="4"/>
  <c r="N239" i="4" s="1"/>
  <c r="N240" i="4"/>
  <c r="L246" i="4"/>
  <c r="N246" i="4" s="1"/>
  <c r="L141" i="4"/>
  <c r="N141" i="4" s="1"/>
  <c r="N142" i="4"/>
  <c r="L83" i="4"/>
  <c r="N84" i="4"/>
  <c r="L28" i="4"/>
  <c r="N28" i="4" s="1"/>
  <c r="L89" i="4"/>
  <c r="N89" i="4" s="1"/>
  <c r="L59" i="4"/>
  <c r="N59" i="4" s="1"/>
  <c r="N60" i="4"/>
  <c r="N209" i="4"/>
  <c r="L119" i="4"/>
  <c r="N120" i="4"/>
  <c r="L73" i="4"/>
  <c r="N73" i="4" s="1"/>
  <c r="N74" i="4"/>
  <c r="N21" i="4"/>
  <c r="L16" i="4"/>
  <c r="K20" i="4"/>
  <c r="K49" i="4"/>
  <c r="K51" i="4"/>
  <c r="K146" i="4"/>
  <c r="K145" i="4" s="1"/>
  <c r="K183" i="4"/>
  <c r="K182" i="4" s="1"/>
  <c r="K185" i="4"/>
  <c r="K184" i="4" s="1"/>
  <c r="K200" i="4"/>
  <c r="K202" i="4"/>
  <c r="K204" i="4"/>
  <c r="K206" i="4"/>
  <c r="K210" i="4"/>
  <c r="K212" i="4"/>
  <c r="K214" i="4"/>
  <c r="K259" i="4"/>
  <c r="K258" i="4" s="1"/>
  <c r="K254" i="4"/>
  <c r="K253" i="4" s="1"/>
  <c r="K252" i="4"/>
  <c r="K251" i="4" s="1"/>
  <c r="K243" i="4"/>
  <c r="K242" i="4" s="1"/>
  <c r="K236" i="4"/>
  <c r="K235" i="4" s="1"/>
  <c r="K232" i="4"/>
  <c r="K231" i="4" s="1"/>
  <c r="K223" i="4"/>
  <c r="K249" i="4"/>
  <c r="K248" i="4" s="1"/>
  <c r="K241" i="4"/>
  <c r="K240" i="4" s="1"/>
  <c r="K227" i="4"/>
  <c r="K226" i="4" s="1"/>
  <c r="K211" i="4"/>
  <c r="K203" i="4"/>
  <c r="K198" i="4"/>
  <c r="K195" i="4"/>
  <c r="K191" i="4"/>
  <c r="K187" i="4"/>
  <c r="K186" i="4" s="1"/>
  <c r="K181" i="4"/>
  <c r="K180" i="4" s="1"/>
  <c r="K178" i="4"/>
  <c r="K177" i="4" s="1"/>
  <c r="K176" i="4"/>
  <c r="K173" i="4"/>
  <c r="K166" i="4"/>
  <c r="K165" i="4"/>
  <c r="K127" i="4"/>
  <c r="K219" i="4"/>
  <c r="K196" i="4"/>
  <c r="K190" i="4"/>
  <c r="K171" i="4"/>
  <c r="K163" i="4"/>
  <c r="K141" i="4"/>
  <c r="K140" i="4" s="1"/>
  <c r="K128" i="4"/>
  <c r="K144" i="4"/>
  <c r="K143" i="4" s="1"/>
  <c r="K118" i="4"/>
  <c r="K117" i="4" s="1"/>
  <c r="K109" i="4"/>
  <c r="K108" i="4" s="1"/>
  <c r="K106" i="4"/>
  <c r="K105" i="4" s="1"/>
  <c r="K104" i="4"/>
  <c r="K103" i="4" s="1"/>
  <c r="K94" i="4"/>
  <c r="K93" i="4" s="1"/>
  <c r="K92" i="4"/>
  <c r="K91" i="4" s="1"/>
  <c r="K154" i="4"/>
  <c r="K153" i="4" s="1"/>
  <c r="K135" i="4"/>
  <c r="K134" i="4" s="1"/>
  <c r="K73" i="4"/>
  <c r="K80" i="4"/>
  <c r="K79" i="4" s="1"/>
  <c r="K50" i="4"/>
  <c r="K45" i="4"/>
  <c r="K44" i="4" s="1"/>
  <c r="K40" i="4"/>
  <c r="K30" i="4"/>
  <c r="K53" i="4"/>
  <c r="K28" i="4"/>
  <c r="K25" i="4"/>
  <c r="K21" i="4"/>
  <c r="K18" i="4"/>
  <c r="K261" i="4"/>
  <c r="K260" i="4" s="1"/>
  <c r="K257" i="4"/>
  <c r="K256" i="4" s="1"/>
  <c r="K247" i="4"/>
  <c r="K246" i="4" s="1"/>
  <c r="K245" i="4"/>
  <c r="K244" i="4" s="1"/>
  <c r="K239" i="4"/>
  <c r="K238" i="4" s="1"/>
  <c r="K234" i="4"/>
  <c r="K233" i="4" s="1"/>
  <c r="K225" i="4"/>
  <c r="K224" i="4"/>
  <c r="K221" i="4"/>
  <c r="K220" i="4" s="1"/>
  <c r="K230" i="4"/>
  <c r="K229" i="4" s="1"/>
  <c r="K228" i="4" s="1"/>
  <c r="K208" i="4"/>
  <c r="K218" i="4"/>
  <c r="K217" i="4" s="1"/>
  <c r="K213" i="4"/>
  <c r="K207" i="4"/>
  <c r="K201" i="4"/>
  <c r="K193" i="4"/>
  <c r="K189" i="4"/>
  <c r="K188" i="4" s="1"/>
  <c r="K175" i="4"/>
  <c r="K174" i="4"/>
  <c r="K168" i="4"/>
  <c r="K167" i="4"/>
  <c r="K164" i="4"/>
  <c r="K194" i="4"/>
  <c r="K172" i="4"/>
  <c r="K169" i="4"/>
  <c r="K160" i="4"/>
  <c r="K159" i="4" s="1"/>
  <c r="K133" i="4"/>
  <c r="K132" i="4" s="1"/>
  <c r="K152" i="4"/>
  <c r="K151" i="4" s="1"/>
  <c r="K150" i="4"/>
  <c r="K149" i="4" s="1"/>
  <c r="K148" i="4"/>
  <c r="K147" i="4" s="1"/>
  <c r="K130" i="4"/>
  <c r="K125" i="4"/>
  <c r="K124" i="4" s="1"/>
  <c r="K123" i="4"/>
  <c r="K122" i="4" s="1"/>
  <c r="K120" i="4"/>
  <c r="K119" i="4" s="1"/>
  <c r="K116" i="4"/>
  <c r="K115" i="4" s="1"/>
  <c r="K114" i="4"/>
  <c r="K113" i="4" s="1"/>
  <c r="K111" i="4"/>
  <c r="K110" i="4" s="1"/>
  <c r="K101" i="4"/>
  <c r="K100" i="4" s="1"/>
  <c r="K99" i="4"/>
  <c r="K98" i="4" s="1"/>
  <c r="K97" i="4"/>
  <c r="K96" i="4"/>
  <c r="K137" i="4"/>
  <c r="K136" i="4" s="1"/>
  <c r="K131" i="4"/>
  <c r="K129" i="4"/>
  <c r="K90" i="4"/>
  <c r="K89" i="4" s="1"/>
  <c r="K88" i="4"/>
  <c r="K87" i="4" s="1"/>
  <c r="K82" i="4"/>
  <c r="K81" i="4" s="1"/>
  <c r="K72" i="4"/>
  <c r="K68" i="4"/>
  <c r="K67" i="4" s="1"/>
  <c r="K61" i="4"/>
  <c r="K78" i="4"/>
  <c r="K77" i="4" s="1"/>
  <c r="K65" i="4"/>
  <c r="K64" i="4"/>
  <c r="K58" i="4"/>
  <c r="K57" i="4" s="1"/>
  <c r="K54" i="4"/>
  <c r="K48" i="4"/>
  <c r="K47" i="4"/>
  <c r="K42" i="4"/>
  <c r="K41" i="4" s="1"/>
  <c r="K39" i="4"/>
  <c r="K37" i="4"/>
  <c r="K35" i="4"/>
  <c r="K34" i="4" s="1"/>
  <c r="K31" i="4"/>
  <c r="K55" i="4"/>
  <c r="K29" i="4"/>
  <c r="K27" i="4"/>
  <c r="K26" i="4"/>
  <c r="K23" i="4"/>
  <c r="K19" i="4"/>
  <c r="K158" i="4"/>
  <c r="K157" i="4" s="1"/>
  <c r="K156" i="4"/>
  <c r="K155" i="4" s="1"/>
  <c r="K139" i="4"/>
  <c r="K138" i="4" s="1"/>
  <c r="K86" i="4"/>
  <c r="K85" i="4" s="1"/>
  <c r="K71" i="4"/>
  <c r="K70" i="4"/>
  <c r="K62" i="4"/>
  <c r="K76" i="4"/>
  <c r="K75" i="4" s="1"/>
  <c r="K56" i="4"/>
  <c r="K52" i="4"/>
  <c r="K38" i="4"/>
  <c r="K33" i="4"/>
  <c r="K32" i="4" s="1"/>
  <c r="K22" i="4"/>
  <c r="N50" i="4"/>
  <c r="K74" i="4" l="1"/>
  <c r="K69" i="4"/>
  <c r="K36" i="4"/>
  <c r="K60" i="4"/>
  <c r="K112" i="4"/>
  <c r="K192" i="4"/>
  <c r="K255" i="4"/>
  <c r="K46" i="4"/>
  <c r="K63" i="4"/>
  <c r="K59" i="4" s="1"/>
  <c r="K66" i="4"/>
  <c r="K95" i="4"/>
  <c r="K84" i="4" s="1"/>
  <c r="K237" i="4"/>
  <c r="K43" i="4"/>
  <c r="K102" i="4"/>
  <c r="K107" i="4"/>
  <c r="K142" i="4"/>
  <c r="K170" i="4"/>
  <c r="K126" i="4"/>
  <c r="K121" i="4" s="1"/>
  <c r="K197" i="4"/>
  <c r="K222" i="4"/>
  <c r="K250" i="4"/>
  <c r="K209" i="4"/>
  <c r="L118" i="4"/>
  <c r="N118" i="4" s="1"/>
  <c r="N119" i="4"/>
  <c r="L208" i="4"/>
  <c r="N208" i="4" s="1"/>
  <c r="L82" i="4"/>
  <c r="N83" i="4"/>
  <c r="K216" i="4"/>
  <c r="K17" i="4"/>
  <c r="K24" i="4"/>
  <c r="K162" i="4"/>
  <c r="K205" i="4"/>
  <c r="L15" i="4"/>
  <c r="N16" i="4"/>
  <c r="K161" i="4" l="1"/>
  <c r="K179" i="4"/>
  <c r="K83" i="4" s="1"/>
  <c r="N15" i="4"/>
  <c r="K16" i="4"/>
  <c r="K15" i="4" s="1"/>
  <c r="N82" i="4"/>
  <c r="L49" i="4"/>
  <c r="N49" i="4" s="1"/>
  <c r="L14" i="4" l="1"/>
  <c r="N14" i="4" s="1"/>
</calcChain>
</file>

<file path=xl/sharedStrings.xml><?xml version="1.0" encoding="utf-8"?>
<sst xmlns="http://schemas.openxmlformats.org/spreadsheetml/2006/main" count="276" uniqueCount="254">
  <si>
    <t>"Año del Fomento de la Vivienda"</t>
  </si>
  <si>
    <t>Hospital Traumatologico quirurgico Juan bosch</t>
  </si>
  <si>
    <t>Dirección de Planificación y Sistema de Salud</t>
  </si>
  <si>
    <t>Ejucucion Presupuestaria Mes de Septiembre</t>
  </si>
  <si>
    <t>Año 2017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</si>
  <si>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</si>
  <si>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</si>
  <si>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</si>
  <si>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</si>
  <si>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</si>
  <si>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</si>
  <si>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</si>
  <si>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</si>
  <si>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</si>
  <si>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</si>
  <si>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</si>
  <si>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</si>
  <si>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EJECUTADO MES DE SEPTIEMBRE</t>
  </si>
  <si>
    <t>DISPONIBLE MES DE SEPTIEMBRE</t>
  </si>
  <si>
    <t>Egresos</t>
  </si>
  <si>
    <t>Servicios Personales</t>
  </si>
  <si>
    <t>Remuneraciones</t>
  </si>
  <si>
    <t>Remuneraciones al personal</t>
  </si>
  <si>
    <t>Sueldos fijos</t>
  </si>
  <si>
    <t>Sueldo a medicos</t>
  </si>
  <si>
    <t>Incentivos y escalafón</t>
  </si>
  <si>
    <t>Remuneraciones al personal con carácter transitorio</t>
  </si>
  <si>
    <t>Sueldos Personal contratado e Igualado</t>
  </si>
  <si>
    <t>Sueldos Personal Nominal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</si>
  <si>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</si>
  <si>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</si>
  <si>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</si>
  <si>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</si>
  <si>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</si>
  <si>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</si>
  <si>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</si>
  <si>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</si>
  <si>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</si>
  <si>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Compensacion por horas extraordinarias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</si>
  <si>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</si>
  <si>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</si>
  <si>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</si>
  <si>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</si>
  <si>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</si>
  <si>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</si>
  <si>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</si>
  <si>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</si>
  <si>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</si>
  <si>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</si>
  <si>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</si>
  <si>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</si>
  <si>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</si>
  <si>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</si>
  <si>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</si>
  <si>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</si>
  <si>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Servicios telefonicos de larga distanci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</si>
  <si>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</si>
  <si>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</si>
  <si>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</si>
  <si>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</si>
  <si>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</si>
  <si>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</si>
  <si>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</si>
  <si>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>Publicidad y propaganda C</t>
  </si>
  <si>
    <t xml:space="preserve">Publicidad y propaganda </t>
  </si>
  <si>
    <t>Impresión y Encuadernacion</t>
  </si>
  <si>
    <t>Viaticos</t>
  </si>
  <si>
    <t>Viaticos Dentro del Pais C</t>
  </si>
  <si>
    <t xml:space="preserve">Viaticos Dentro del Pais </t>
  </si>
  <si>
    <t xml:space="preserve">Viaticos Fuera del pais </t>
  </si>
  <si>
    <t>Transporte y Almacenaje</t>
  </si>
  <si>
    <t>Pasajes</t>
  </si>
  <si>
    <t>Pasajes A</t>
  </si>
  <si>
    <t>Fletes</t>
  </si>
  <si>
    <t>Almacenaje</t>
  </si>
  <si>
    <t>Peajes</t>
  </si>
  <si>
    <t>Alquileres y Rentas</t>
  </si>
  <si>
    <t>Alquileres y rentas de edificios y locales</t>
  </si>
  <si>
    <t>Alquileres y rentas de edificios y locales A</t>
  </si>
  <si>
    <t>Equipos de Produccion</t>
  </si>
  <si>
    <t>Equipos Educacional</t>
  </si>
  <si>
    <t xml:space="preserve">Equipos para Computacion 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</si>
  <si>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</si>
  <si>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</si>
  <si>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</si>
  <si>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</si>
  <si>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</si>
  <si>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</si>
  <si>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</si>
  <si>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</si>
  <si>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</si>
  <si>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</si>
  <si>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</si>
  <si>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</si>
  <si>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</si>
  <si>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</si>
  <si>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</si>
  <si>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</si>
  <si>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</si>
  <si>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</si>
  <si>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</si>
  <si>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</si>
  <si>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</si>
  <si>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</si>
  <si>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</si>
  <si>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</si>
  <si>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</si>
  <si>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</si>
  <si>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</si>
  <si>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</si>
  <si>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</si>
  <si>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</si>
  <si>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</si>
  <si>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</si>
  <si>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Comtabilidad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</si>
  <si>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</si>
  <si>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</si>
  <si>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</si>
  <si>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</si>
  <si>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</si>
  <si>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Otros Gastos por Idemniz.  y Compensaciones</t>
  </si>
  <si>
    <t>Materiales y Suministros</t>
  </si>
  <si>
    <t>Alimentos y productos Agroforestales</t>
  </si>
  <si>
    <t>Alimentos y Bebidas Para Personas</t>
  </si>
  <si>
    <t>Alimentos y Bebidas Para Personas A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</si>
  <si>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</si>
  <si>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</si>
  <si>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</si>
  <si>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</si>
  <si>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</si>
  <si>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</si>
  <si>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</si>
  <si>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Hilados y telas A</t>
  </si>
  <si>
    <t>Acavados textiles</t>
  </si>
  <si>
    <t>Prendas de vestir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</si>
  <si>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</si>
  <si>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</si>
  <si>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</si>
  <si>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</si>
  <si>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</si>
  <si>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</si>
  <si>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</si>
  <si>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</si>
  <si>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</si>
  <si>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</si>
  <si>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</si>
  <si>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</si>
  <si>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Productos de Cuero, Caucho y Plastico</t>
  </si>
  <si>
    <t>Cueros y Pieles</t>
  </si>
  <si>
    <t>Cueros y Pieles A</t>
  </si>
  <si>
    <t>Articulos de cueros</t>
  </si>
  <si>
    <t>Llantas y Neumaticos</t>
  </si>
  <si>
    <t>Articulos de Caucho</t>
  </si>
  <si>
    <t>Articulos de Plasticos</t>
  </si>
  <si>
    <t>Productos Minerales Metalicos y no Metalicos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</si>
  <si>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</si>
  <si>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</si>
  <si>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</si>
  <si>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</si>
  <si>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</si>
  <si>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</si>
  <si>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</si>
  <si>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</si>
  <si>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</si>
  <si>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</si>
  <si>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</si>
  <si>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</si>
  <si>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</si>
  <si>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</si>
  <si>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</si>
  <si>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</si>
  <si>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</si>
  <si>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</si>
  <si>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</si>
  <si>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Combustibles, Lubric., Prod. Quim.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</si>
  <si>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</si>
  <si>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</si>
  <si>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</si>
  <si>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</si>
  <si>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</si>
  <si>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</si>
  <si>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</si>
  <si>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</si>
  <si>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</si>
  <si>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</si>
  <si>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</si>
  <si>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</si>
  <si>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</si>
  <si>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Productos y Utiles Varios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</si>
  <si>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</si>
  <si>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</si>
  <si>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</si>
  <si>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</si>
  <si>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</si>
  <si>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</si>
  <si>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</si>
  <si>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</si>
  <si>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</si>
  <si>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Transferencias Corriente</t>
  </si>
  <si>
    <t>Transferencias Corriente al Sector Privado</t>
  </si>
  <si>
    <t>Ayuda y Donaciones a Personas</t>
  </si>
  <si>
    <t>tranferencias corrientes a asociaciones sin fines de lucro</t>
  </si>
  <si>
    <t>Ayuda y Donaciones Program. a hogares y Person.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</si>
  <si>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</si>
  <si>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</si>
  <si>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</si>
  <si>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</si>
  <si>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</si>
  <si>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</si>
  <si>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</si>
  <si>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MOBILIARIOS Y EQUIPOS</t>
  </si>
  <si>
    <t>Mueble de la Oficina y Estanteria</t>
  </si>
  <si>
    <t>Mueble de la Oficina y Estanteria A</t>
  </si>
  <si>
    <t xml:space="preserve">Muebles de Alojamiento </t>
  </si>
  <si>
    <t>Equipos Computo</t>
  </si>
  <si>
    <t>Electrodometicos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</si>
  <si>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</si>
  <si>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</si>
  <si>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</si>
  <si>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</si>
  <si>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</si>
  <si>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</si>
  <si>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</si>
  <si>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</si>
  <si>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Equipo Medico y De Laboratorio C</t>
  </si>
  <si>
    <t>Instrumental Medico y De Laboratorio</t>
  </si>
  <si>
    <t>VEHIC. Y EQU. DE TRANSP. TRACC. Y ELEVACIO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</si>
  <si>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</si>
  <si>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</si>
  <si>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</si>
  <si>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</si>
  <si>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</si>
  <si>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Maquinarias y Equipos Industriales A</t>
  </si>
  <si>
    <t>Sistema de Aire Acondicionado, Calefaccion, Refigeracion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</si>
  <si>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</si>
  <si>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</si>
  <si>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</si>
  <si>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</si>
  <si>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Equipos de defensa y seguridad</t>
  </si>
  <si>
    <t>Equipos de defensa de defensa</t>
  </si>
  <si>
    <t>Equipos de seguridad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</si>
  <si>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</si>
  <si>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</si>
  <si>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</si>
  <si>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</si>
  <si>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</si>
  <si>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</si>
  <si>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</si>
  <si>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</si>
  <si>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Edificios y estructuras</t>
  </si>
  <si>
    <t>Edificios residenciales ( Viviendas )</t>
  </si>
  <si>
    <t>Edificios No Residenciales</t>
  </si>
  <si>
    <t>Otras estructuras</t>
  </si>
  <si>
    <t>Obras para edificacion de otras estructuras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</si>
</sst>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 style="thin">
        <color indexed="64"/>
      </left>
      <right style="thin">
        <color theme="3" tint="0.399945066682943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theme="3" tint="0.39994506668294322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0" borderId="0" xfId="1" applyFont="1"/>
    <xf numFmtId="0" fontId="2" fillId="0" borderId="0" xfId="1"/>
    <xf numFmtId="0" fontId="5" fillId="2" borderId="3" xfId="2" applyFont="1" applyFill="1" applyBorder="1" applyAlignment="1"/>
    <xf numFmtId="0" fontId="5" fillId="2" borderId="5" xfId="2" applyFont="1" applyFill="1" applyBorder="1" applyAlignment="1"/>
    <xf numFmtId="0" fontId="8" fillId="4" borderId="8" xfId="3" applyFont="1" applyFill="1" applyBorder="1" applyAlignment="1">
      <alignment horizontal="center" textRotation="90"/>
    </xf>
    <xf numFmtId="0" fontId="10" fillId="5" borderId="16" xfId="3" applyFont="1" applyFill="1" applyBorder="1" applyAlignment="1" applyProtection="1">
      <alignment vertical="top"/>
    </xf>
    <xf numFmtId="0" fontId="11" fillId="5" borderId="17" xfId="3" applyFont="1" applyFill="1" applyBorder="1" applyAlignment="1" applyProtection="1">
      <alignment horizontal="center" vertical="top"/>
    </xf>
    <xf numFmtId="0" fontId="11" fillId="5" borderId="18" xfId="3" applyFont="1" applyFill="1" applyBorder="1" applyAlignment="1" applyProtection="1">
      <alignment horizontal="center" vertical="top"/>
    </xf>
    <xf numFmtId="0" fontId="11" fillId="5" borderId="19" xfId="3" applyFont="1" applyFill="1" applyBorder="1" applyAlignment="1" applyProtection="1">
      <alignment vertical="top"/>
    </xf>
    <xf numFmtId="165" fontId="11" fillId="5" borderId="20" xfId="4" applyNumberFormat="1" applyFont="1" applyFill="1" applyBorder="1" applyAlignment="1" applyProtection="1">
      <alignment vertical="top"/>
      <protection hidden="1"/>
    </xf>
    <xf numFmtId="165" fontId="11" fillId="5" borderId="17" xfId="4" applyNumberFormat="1" applyFont="1" applyFill="1" applyBorder="1" applyAlignment="1" applyProtection="1">
      <alignment vertical="top"/>
      <protection hidden="1"/>
    </xf>
    <xf numFmtId="165" fontId="11" fillId="5" borderId="18" xfId="4" applyNumberFormat="1" applyFont="1" applyFill="1" applyBorder="1" applyAlignment="1" applyProtection="1">
      <alignment vertical="top"/>
      <protection hidden="1"/>
    </xf>
    <xf numFmtId="165" fontId="11" fillId="5" borderId="19" xfId="4" applyNumberFormat="1" applyFont="1" applyFill="1" applyBorder="1" applyAlignment="1" applyProtection="1">
      <alignment vertical="top"/>
      <protection hidden="1"/>
    </xf>
    <xf numFmtId="165" fontId="11" fillId="6" borderId="0" xfId="4" applyNumberFormat="1" applyFont="1" applyFill="1" applyBorder="1" applyAlignment="1" applyProtection="1">
      <alignment horizontal="right" vertical="top"/>
      <protection hidden="1"/>
    </xf>
    <xf numFmtId="0" fontId="10" fillId="6" borderId="21" xfId="3" applyFont="1" applyFill="1" applyBorder="1" applyAlignment="1" applyProtection="1"/>
    <xf numFmtId="0" fontId="11" fillId="6" borderId="22" xfId="3" applyFont="1" applyFill="1" applyBorder="1" applyAlignment="1" applyProtection="1">
      <alignment horizontal="center"/>
    </xf>
    <xf numFmtId="0" fontId="11" fillId="6" borderId="22" xfId="3" applyFont="1" applyFill="1" applyBorder="1" applyAlignment="1" applyProtection="1">
      <alignment horizontal="center" vertical="top"/>
    </xf>
    <xf numFmtId="0" fontId="11" fillId="6" borderId="6" xfId="3" applyFont="1" applyFill="1" applyBorder="1" applyAlignment="1" applyProtection="1">
      <alignment horizontal="center" vertical="top"/>
    </xf>
    <xf numFmtId="165" fontId="11" fillId="6" borderId="7" xfId="4" applyNumberFormat="1" applyFont="1" applyFill="1" applyBorder="1" applyAlignment="1" applyProtection="1">
      <alignment vertical="top"/>
      <protection hidden="1"/>
    </xf>
    <xf numFmtId="165" fontId="11" fillId="6" borderId="22" xfId="4" applyNumberFormat="1" applyFont="1" applyFill="1" applyBorder="1" applyAlignment="1" applyProtection="1">
      <alignment vertical="top"/>
      <protection hidden="1"/>
    </xf>
    <xf numFmtId="165" fontId="11" fillId="6" borderId="6" xfId="4" applyNumberFormat="1" applyFont="1" applyFill="1" applyBorder="1" applyAlignment="1" applyProtection="1">
      <alignment vertical="top"/>
      <protection hidden="1"/>
    </xf>
    <xf numFmtId="165" fontId="11" fillId="6" borderId="23" xfId="4" applyNumberFormat="1" applyFont="1" applyFill="1" applyBorder="1" applyAlignment="1" applyProtection="1">
      <alignment vertical="top"/>
      <protection hidden="1"/>
    </xf>
    <xf numFmtId="0" fontId="11" fillId="7" borderId="22" xfId="3" applyFont="1" applyFill="1" applyBorder="1" applyAlignment="1" applyProtection="1">
      <alignment horizontal="center"/>
    </xf>
    <xf numFmtId="0" fontId="11" fillId="7" borderId="22" xfId="3" applyFont="1" applyFill="1" applyBorder="1" applyAlignment="1" applyProtection="1">
      <alignment horizontal="center" vertical="top"/>
    </xf>
    <xf numFmtId="0" fontId="11" fillId="7" borderId="6" xfId="3" applyFont="1" applyFill="1" applyBorder="1" applyAlignment="1" applyProtection="1">
      <alignment horizontal="center" vertical="top"/>
    </xf>
    <xf numFmtId="165" fontId="11" fillId="7" borderId="7" xfId="4" applyNumberFormat="1" applyFont="1" applyFill="1" applyBorder="1" applyAlignment="1" applyProtection="1">
      <alignment vertical="top"/>
      <protection hidden="1"/>
    </xf>
    <xf numFmtId="165" fontId="11" fillId="7" borderId="22" xfId="4" applyNumberFormat="1" applyFont="1" applyFill="1" applyBorder="1" applyAlignment="1" applyProtection="1">
      <alignment vertical="top"/>
      <protection hidden="1"/>
    </xf>
    <xf numFmtId="165" fontId="11" fillId="7" borderId="6" xfId="4" applyNumberFormat="1" applyFont="1" applyFill="1" applyBorder="1" applyAlignment="1" applyProtection="1">
      <alignment vertical="top"/>
      <protection hidden="1"/>
    </xf>
    <xf numFmtId="165" fontId="11" fillId="7" borderId="23" xfId="4" applyNumberFormat="1" applyFont="1" applyFill="1" applyBorder="1" applyAlignment="1" applyProtection="1">
      <alignment vertical="top"/>
      <protection hidden="1"/>
    </xf>
    <xf numFmtId="165" fontId="11" fillId="7" borderId="0" xfId="4" applyNumberFormat="1" applyFont="1" applyFill="1" applyBorder="1" applyAlignment="1" applyProtection="1">
      <alignment horizontal="right" vertical="top"/>
      <protection hidden="1"/>
    </xf>
    <xf numFmtId="0" fontId="14" fillId="7" borderId="0" xfId="3" applyFont="1" applyFill="1" applyBorder="1"/>
    <xf numFmtId="0" fontId="14" fillId="7" borderId="23" xfId="3" applyFont="1" applyFill="1" applyBorder="1"/>
    <xf numFmtId="165" fontId="15" fillId="7" borderId="23" xfId="4" applyNumberFormat="1" applyFont="1" applyFill="1" applyBorder="1" applyAlignment="1" applyProtection="1">
      <alignment vertical="top"/>
      <protection locked="0"/>
    </xf>
    <xf numFmtId="0" fontId="14" fillId="0" borderId="0" xfId="3" applyFont="1" applyBorder="1"/>
    <xf numFmtId="0" fontId="13" fillId="0" borderId="23" xfId="3" applyFont="1" applyBorder="1"/>
    <xf numFmtId="165" fontId="15" fillId="8" borderId="7" xfId="4" applyNumberFormat="1" applyFont="1" applyFill="1" applyBorder="1" applyAlignment="1" applyProtection="1">
      <alignment vertical="top"/>
      <protection locked="0"/>
    </xf>
    <xf numFmtId="165" fontId="15" fillId="8" borderId="22" xfId="4" applyNumberFormat="1" applyFont="1" applyFill="1" applyBorder="1" applyAlignment="1" applyProtection="1">
      <alignment vertical="top"/>
      <protection locked="0"/>
    </xf>
    <xf numFmtId="165" fontId="15" fillId="8" borderId="6" xfId="4" applyNumberFormat="1" applyFont="1" applyFill="1" applyBorder="1" applyAlignment="1" applyProtection="1">
      <alignment vertical="top"/>
      <protection locked="0"/>
    </xf>
    <xf numFmtId="165" fontId="15" fillId="8" borderId="23" xfId="4" applyNumberFormat="1" applyFont="1" applyFill="1" applyBorder="1" applyAlignment="1" applyProtection="1">
      <alignment vertical="top"/>
      <protection locked="0"/>
    </xf>
    <xf numFmtId="165" fontId="15" fillId="9" borderId="0" xfId="4" applyNumberFormat="1" applyFont="1" applyFill="1" applyBorder="1" applyAlignment="1" applyProtection="1">
      <alignment horizontal="right" vertical="top"/>
      <protection locked="0"/>
    </xf>
    <xf numFmtId="0" fontId="13" fillId="0" borderId="23" xfId="3" applyFont="1" applyFill="1" applyBorder="1"/>
    <xf numFmtId="0" fontId="17" fillId="0" borderId="23" xfId="3" applyFont="1" applyFill="1" applyBorder="1"/>
    <xf numFmtId="165" fontId="11" fillId="7" borderId="23" xfId="4" applyNumberFormat="1" applyFont="1" applyFill="1" applyBorder="1" applyAlignment="1" applyProtection="1">
      <alignment vertical="top"/>
      <protection locked="0"/>
    </xf>
    <xf numFmtId="0" fontId="14" fillId="0" borderId="23" xfId="3" applyFont="1" applyFill="1" applyBorder="1"/>
    <xf numFmtId="165" fontId="11" fillId="8" borderId="6" xfId="4" applyNumberFormat="1" applyFont="1" applyFill="1" applyBorder="1" applyAlignment="1" applyProtection="1">
      <alignment vertical="top"/>
      <protection hidden="1"/>
    </xf>
    <xf numFmtId="165" fontId="11" fillId="9" borderId="0" xfId="4" applyNumberFormat="1" applyFont="1" applyFill="1" applyBorder="1" applyAlignment="1" applyProtection="1">
      <alignment horizontal="right" vertical="top"/>
      <protection hidden="1"/>
    </xf>
    <xf numFmtId="165" fontId="11" fillId="8" borderId="7" xfId="4" applyNumberFormat="1" applyFont="1" applyFill="1" applyBorder="1" applyAlignment="1" applyProtection="1">
      <alignment vertical="top"/>
      <protection hidden="1"/>
    </xf>
    <xf numFmtId="165" fontId="15" fillId="7" borderId="22" xfId="4" applyNumberFormat="1" applyFont="1" applyFill="1" applyBorder="1" applyAlignment="1" applyProtection="1">
      <alignment vertical="top"/>
      <protection locked="0"/>
    </xf>
    <xf numFmtId="0" fontId="14" fillId="0" borderId="23" xfId="3" applyFont="1" applyBorder="1"/>
    <xf numFmtId="0" fontId="13" fillId="7" borderId="23" xfId="3" applyFont="1" applyFill="1" applyBorder="1"/>
    <xf numFmtId="165" fontId="15" fillId="7" borderId="7" xfId="4" applyNumberFormat="1" applyFont="1" applyFill="1" applyBorder="1" applyAlignment="1" applyProtection="1">
      <alignment vertical="top"/>
      <protection locked="0"/>
    </xf>
    <xf numFmtId="165" fontId="15" fillId="7" borderId="6" xfId="4" applyNumberFormat="1" applyFont="1" applyFill="1" applyBorder="1" applyAlignment="1" applyProtection="1">
      <alignment vertical="top"/>
      <protection locked="0"/>
    </xf>
    <xf numFmtId="165" fontId="15" fillId="7" borderId="0" xfId="4" applyNumberFormat="1" applyFont="1" applyFill="1" applyBorder="1" applyAlignment="1" applyProtection="1">
      <alignment horizontal="right" vertical="top"/>
      <protection locked="0"/>
    </xf>
    <xf numFmtId="165" fontId="11" fillId="7" borderId="22" xfId="4" applyNumberFormat="1" applyFont="1" applyFill="1" applyBorder="1" applyAlignment="1" applyProtection="1">
      <alignment vertical="top"/>
      <protection locked="0"/>
    </xf>
    <xf numFmtId="0" fontId="11" fillId="7" borderId="0" xfId="3" applyFont="1" applyFill="1" applyBorder="1" applyAlignment="1" applyProtection="1">
      <alignment horizontal="center"/>
    </xf>
    <xf numFmtId="0" fontId="11" fillId="7" borderId="0" xfId="3" applyFont="1" applyFill="1" applyBorder="1" applyAlignment="1" applyProtection="1">
      <alignment horizontal="center" vertical="top"/>
    </xf>
    <xf numFmtId="165" fontId="11" fillId="8" borderId="24" xfId="4" applyNumberFormat="1" applyFont="1" applyFill="1" applyBorder="1" applyAlignment="1" applyProtection="1">
      <alignment vertical="top"/>
      <protection hidden="1"/>
    </xf>
    <xf numFmtId="165" fontId="11" fillId="8" borderId="25" xfId="4" applyNumberFormat="1" applyFont="1" applyFill="1" applyBorder="1" applyAlignment="1" applyProtection="1">
      <alignment vertical="top"/>
      <protection hidden="1"/>
    </xf>
    <xf numFmtId="165" fontId="15" fillId="8" borderId="4" xfId="4" applyNumberFormat="1" applyFont="1" applyFill="1" applyBorder="1" applyAlignment="1" applyProtection="1">
      <alignment vertical="top"/>
      <protection locked="0"/>
    </xf>
    <xf numFmtId="165" fontId="11" fillId="7" borderId="7" xfId="4" applyNumberFormat="1" applyFont="1" applyFill="1" applyBorder="1" applyAlignment="1" applyProtection="1">
      <alignment vertical="top"/>
      <protection locked="0"/>
    </xf>
    <xf numFmtId="165" fontId="11" fillId="7" borderId="6" xfId="4" applyNumberFormat="1" applyFont="1" applyFill="1" applyBorder="1" applyAlignment="1" applyProtection="1">
      <alignment vertical="top"/>
      <protection locked="0"/>
    </xf>
    <xf numFmtId="165" fontId="11" fillId="7" borderId="0" xfId="4" applyNumberFormat="1" applyFont="1" applyFill="1" applyBorder="1" applyAlignment="1" applyProtection="1">
      <alignment horizontal="right" vertical="top"/>
      <protection locked="0"/>
    </xf>
    <xf numFmtId="165" fontId="11" fillId="8" borderId="7" xfId="4" applyNumberFormat="1" applyFont="1" applyFill="1" applyBorder="1" applyAlignment="1" applyProtection="1">
      <alignment vertical="top"/>
      <protection locked="0"/>
    </xf>
    <xf numFmtId="165" fontId="11" fillId="8" borderId="6" xfId="4" applyNumberFormat="1" applyFont="1" applyFill="1" applyBorder="1" applyAlignment="1" applyProtection="1">
      <alignment vertical="top"/>
      <protection locked="0"/>
    </xf>
    <xf numFmtId="0" fontId="17" fillId="0" borderId="23" xfId="3" applyFont="1" applyBorder="1"/>
    <xf numFmtId="165" fontId="11" fillId="7" borderId="7" xfId="4" applyNumberFormat="1" applyFont="1" applyFill="1" applyBorder="1" applyAlignment="1" applyProtection="1">
      <alignment vertical="top"/>
    </xf>
    <xf numFmtId="165" fontId="11" fillId="7" borderId="6" xfId="4" applyNumberFormat="1" applyFont="1" applyFill="1" applyBorder="1" applyAlignment="1" applyProtection="1">
      <alignment vertical="top"/>
    </xf>
    <xf numFmtId="165" fontId="11" fillId="7" borderId="0" xfId="4" applyNumberFormat="1" applyFont="1" applyFill="1" applyBorder="1" applyAlignment="1" applyProtection="1">
      <alignment horizontal="right" vertical="top"/>
    </xf>
    <xf numFmtId="165" fontId="11" fillId="8" borderId="7" xfId="4" applyNumberFormat="1" applyFont="1" applyFill="1" applyBorder="1" applyAlignment="1" applyProtection="1">
      <alignment vertical="top"/>
    </xf>
    <xf numFmtId="165" fontId="11" fillId="8" borderId="6" xfId="4" applyNumberFormat="1" applyFont="1" applyFill="1" applyBorder="1" applyAlignment="1" applyProtection="1">
      <alignment vertical="top"/>
    </xf>
    <xf numFmtId="165" fontId="11" fillId="9" borderId="0" xfId="4" applyNumberFormat="1" applyFont="1" applyFill="1" applyBorder="1" applyAlignment="1" applyProtection="1">
      <alignment horizontal="right" vertical="top"/>
    </xf>
    <xf numFmtId="0" fontId="11" fillId="6" borderId="0" xfId="3" applyFont="1" applyFill="1" applyBorder="1" applyAlignment="1" applyProtection="1">
      <alignment horizontal="center"/>
    </xf>
    <xf numFmtId="0" fontId="11" fillId="6" borderId="0" xfId="3" applyFont="1" applyFill="1" applyBorder="1" applyAlignment="1" applyProtection="1">
      <alignment horizontal="center" vertical="top"/>
    </xf>
    <xf numFmtId="165" fontId="15" fillId="8" borderId="24" xfId="4" applyNumberFormat="1" applyFont="1" applyFill="1" applyBorder="1" applyAlignment="1" applyProtection="1">
      <alignment vertical="top"/>
      <protection locked="0"/>
    </xf>
    <xf numFmtId="165" fontId="15" fillId="8" borderId="25" xfId="4" applyNumberFormat="1" applyFont="1" applyFill="1" applyBorder="1" applyAlignment="1" applyProtection="1">
      <alignment vertical="top"/>
      <protection locked="0"/>
    </xf>
    <xf numFmtId="165" fontId="15" fillId="9" borderId="26" xfId="4" applyNumberFormat="1" applyFont="1" applyFill="1" applyBorder="1" applyAlignment="1" applyProtection="1">
      <alignment horizontal="right" vertical="top"/>
      <protection locked="0"/>
    </xf>
    <xf numFmtId="165" fontId="15" fillId="6" borderId="23" xfId="4" applyNumberFormat="1" applyFont="1" applyFill="1" applyBorder="1" applyAlignment="1" applyProtection="1">
      <alignment vertical="top"/>
      <protection hidden="1"/>
    </xf>
    <xf numFmtId="165" fontId="15" fillId="6" borderId="0" xfId="4" applyNumberFormat="1" applyFont="1" applyFill="1" applyBorder="1" applyAlignment="1" applyProtection="1">
      <alignment horizontal="right" vertical="top"/>
      <protection hidden="1"/>
    </xf>
    <xf numFmtId="0" fontId="14" fillId="0" borderId="23" xfId="3" applyFont="1" applyBorder="1" applyAlignment="1">
      <alignment wrapText="1"/>
    </xf>
    <xf numFmtId="0" fontId="15" fillId="8" borderId="0" xfId="3" applyFont="1" applyFill="1" applyBorder="1" applyAlignment="1" applyProtection="1">
      <alignment horizontal="center" vertical="top"/>
      <protection locked="0"/>
    </xf>
    <xf numFmtId="0" fontId="11" fillId="8" borderId="0" xfId="3" applyFont="1" applyFill="1" applyBorder="1" applyAlignment="1" applyProtection="1">
      <alignment horizontal="center" vertical="top"/>
    </xf>
    <xf numFmtId="0" fontId="15" fillId="8" borderId="0" xfId="3" applyFont="1" applyFill="1" applyBorder="1" applyAlignment="1" applyProtection="1">
      <alignment horizontal="center" vertical="top"/>
    </xf>
    <xf numFmtId="0" fontId="10" fillId="6" borderId="27" xfId="3" applyFont="1" applyFill="1" applyBorder="1" applyAlignment="1" applyProtection="1"/>
    <xf numFmtId="0" fontId="14" fillId="0" borderId="28" xfId="3" applyFont="1" applyBorder="1"/>
    <xf numFmtId="0" fontId="13" fillId="0" borderId="29" xfId="3" applyFont="1" applyBorder="1"/>
    <xf numFmtId="165" fontId="11" fillId="8" borderId="30" xfId="4" applyNumberFormat="1" applyFont="1" applyFill="1" applyBorder="1" applyAlignment="1" applyProtection="1">
      <alignment vertical="top"/>
      <protection locked="0"/>
    </xf>
    <xf numFmtId="165" fontId="15" fillId="8" borderId="31" xfId="4" applyNumberFormat="1" applyFont="1" applyFill="1" applyBorder="1" applyAlignment="1" applyProtection="1">
      <alignment vertical="top"/>
      <protection locked="0"/>
    </xf>
    <xf numFmtId="165" fontId="11" fillId="8" borderId="32" xfId="4" applyNumberFormat="1" applyFont="1" applyFill="1" applyBorder="1" applyAlignment="1" applyProtection="1">
      <alignment vertical="top"/>
      <protection locked="0"/>
    </xf>
    <xf numFmtId="165" fontId="15" fillId="8" borderId="29" xfId="4" applyNumberFormat="1" applyFont="1" applyFill="1" applyBorder="1" applyAlignment="1" applyProtection="1">
      <alignment vertical="top"/>
      <protection locked="0"/>
    </xf>
    <xf numFmtId="165" fontId="15" fillId="9" borderId="28" xfId="4" applyNumberFormat="1" applyFont="1" applyFill="1" applyBorder="1" applyAlignment="1" applyProtection="1">
      <alignment horizontal="right" vertical="top"/>
      <protection locked="0"/>
    </xf>
    <xf numFmtId="164" fontId="2" fillId="0" borderId="0" xfId="5" applyFont="1"/>
    <xf numFmtId="164" fontId="13" fillId="0" borderId="29" xfId="5" applyFont="1" applyBorder="1"/>
    <xf numFmtId="164" fontId="11" fillId="6" borderId="23" xfId="5" applyFont="1" applyFill="1" applyBorder="1" applyAlignment="1" applyProtection="1">
      <alignment vertical="top"/>
      <protection hidden="1"/>
    </xf>
    <xf numFmtId="0" fontId="11" fillId="6" borderId="23" xfId="6" applyFont="1" applyFill="1" applyBorder="1" applyProtection="1"/>
    <xf numFmtId="164" fontId="13" fillId="0" borderId="23" xfId="5" applyFont="1" applyBorder="1"/>
    <xf numFmtId="0" fontId="2" fillId="7" borderId="0" xfId="1" applyFill="1"/>
    <xf numFmtId="164" fontId="13" fillId="7" borderId="23" xfId="5" applyFont="1" applyFill="1" applyBorder="1"/>
    <xf numFmtId="0" fontId="11" fillId="7" borderId="23" xfId="6" applyFont="1" applyFill="1" applyBorder="1" applyAlignment="1" applyProtection="1">
      <alignment vertical="top" wrapText="1"/>
    </xf>
    <xf numFmtId="164" fontId="14" fillId="7" borderId="23" xfId="5" applyFont="1" applyFill="1" applyBorder="1"/>
    <xf numFmtId="0" fontId="15" fillId="8" borderId="23" xfId="6" applyFont="1" applyFill="1" applyBorder="1" applyAlignment="1" applyProtection="1">
      <alignment vertical="top" wrapText="1"/>
    </xf>
    <xf numFmtId="0" fontId="11" fillId="7" borderId="23" xfId="6" applyFont="1" applyFill="1" applyBorder="1" applyAlignment="1" applyProtection="1">
      <alignment vertical="top"/>
    </xf>
    <xf numFmtId="0" fontId="11" fillId="7" borderId="23" xfId="6" applyFont="1" applyFill="1" applyBorder="1" applyProtection="1"/>
    <xf numFmtId="0" fontId="11" fillId="8" borderId="23" xfId="6" applyFont="1" applyFill="1" applyBorder="1" applyAlignment="1" applyProtection="1">
      <alignment vertical="top" wrapText="1"/>
    </xf>
    <xf numFmtId="0" fontId="15" fillId="8" borderId="23" xfId="6" applyFont="1" applyFill="1" applyBorder="1" applyAlignment="1" applyProtection="1">
      <alignment vertical="top" wrapText="1"/>
      <protection locked="0"/>
    </xf>
    <xf numFmtId="164" fontId="15" fillId="6" borderId="23" xfId="5" applyFont="1" applyFill="1" applyBorder="1" applyAlignment="1" applyProtection="1">
      <alignment vertical="top"/>
      <protection hidden="1"/>
    </xf>
    <xf numFmtId="43" fontId="2" fillId="0" borderId="0" xfId="1" applyNumberFormat="1"/>
    <xf numFmtId="164" fontId="13" fillId="0" borderId="5" xfId="5" applyFont="1" applyBorder="1"/>
    <xf numFmtId="164" fontId="15" fillId="7" borderId="23" xfId="5" applyFont="1" applyFill="1" applyBorder="1" applyAlignment="1" applyProtection="1">
      <alignment vertical="top"/>
      <protection locked="0"/>
    </xf>
    <xf numFmtId="164" fontId="11" fillId="7" borderId="23" xfId="5" applyFont="1" applyFill="1" applyBorder="1" applyProtection="1"/>
    <xf numFmtId="164" fontId="16" fillId="0" borderId="23" xfId="5" applyFont="1" applyBorder="1"/>
    <xf numFmtId="164" fontId="2" fillId="0" borderId="0" xfId="1" applyNumberFormat="1"/>
    <xf numFmtId="164" fontId="11" fillId="5" borderId="19" xfId="5" applyFont="1" applyFill="1" applyBorder="1" applyAlignment="1" applyProtection="1">
      <alignment horizontal="center" vertical="top"/>
    </xf>
    <xf numFmtId="0" fontId="7" fillId="3" borderId="5" xfId="6" applyFont="1" applyFill="1" applyBorder="1" applyAlignment="1" applyProtection="1">
      <protection locked="0"/>
    </xf>
    <xf numFmtId="0" fontId="7" fillId="3" borderId="0" xfId="6" applyFont="1" applyFill="1" applyBorder="1" applyAlignment="1" applyProtection="1">
      <protection locked="0"/>
    </xf>
    <xf numFmtId="0" fontId="7" fillId="3" borderId="7" xfId="6" applyFont="1" applyFill="1" applyBorder="1" applyAlignment="1" applyProtection="1">
      <protection locked="0"/>
    </xf>
    <xf numFmtId="0" fontId="7" fillId="3" borderId="6" xfId="6" applyFont="1" applyFill="1" applyBorder="1" applyAlignment="1" applyProtection="1">
      <protection locked="0"/>
    </xf>
    <xf numFmtId="0" fontId="7" fillId="3" borderId="4" xfId="6" applyFont="1" applyFill="1" applyBorder="1" applyAlignment="1" applyProtection="1">
      <protection locked="0"/>
    </xf>
    <xf numFmtId="0" fontId="6" fillId="2" borderId="0" xfId="6" applyFont="1" applyFill="1" applyBorder="1" applyAlignment="1">
      <alignment horizontal="left" indent="3"/>
    </xf>
    <xf numFmtId="0" fontId="6" fillId="2" borderId="4" xfId="6" applyFont="1" applyFill="1" applyBorder="1" applyAlignment="1">
      <alignment horizontal="left" indent="15"/>
    </xf>
    <xf numFmtId="0" fontId="6" fillId="2" borderId="0" xfId="6" applyFont="1" applyFill="1" applyBorder="1" applyAlignment="1">
      <alignment horizontal="left" indent="15"/>
    </xf>
    <xf numFmtId="0" fontId="6" fillId="2" borderId="0" xfId="6" applyFont="1" applyFill="1" applyBorder="1"/>
    <xf numFmtId="0" fontId="4" fillId="2" borderId="2" xfId="6" applyFont="1" applyFill="1" applyBorder="1"/>
    <xf numFmtId="0" fontId="4" fillId="2" borderId="1" xfId="6" applyFont="1" applyFill="1" applyBorder="1" applyAlignment="1">
      <alignment horizontal="left" indent="15"/>
    </xf>
    <xf numFmtId="0" fontId="9" fillId="4" borderId="11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0" fontId="9" fillId="4" borderId="12" xfId="6" applyFont="1" applyFill="1" applyBorder="1" applyAlignment="1">
      <alignment horizontal="center" vertical="center" wrapText="1"/>
    </xf>
    <xf numFmtId="0" fontId="9" fillId="4" borderId="9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8" fillId="4" borderId="9" xfId="3" applyFont="1" applyFill="1" applyBorder="1" applyAlignment="1">
      <alignment horizontal="center" textRotation="90"/>
    </xf>
    <xf numFmtId="0" fontId="8" fillId="4" borderId="10" xfId="3" applyFont="1" applyFill="1" applyBorder="1" applyAlignment="1">
      <alignment horizontal="center" textRotation="90"/>
    </xf>
    <xf numFmtId="0" fontId="8" fillId="4" borderId="11" xfId="3" applyFont="1" applyFill="1" applyBorder="1" applyAlignment="1">
      <alignment horizontal="center" vertical="center"/>
    </xf>
    <xf numFmtId="0" fontId="8" fillId="4" borderId="14" xfId="3" applyFont="1" applyFill="1" applyBorder="1" applyAlignment="1">
      <alignment horizontal="center" vertical="center"/>
    </xf>
  </cellXfs>
  <cellStyles count="10">
    <cellStyle name="Millares 2" xfId="4"/>
    <cellStyle name="Millares 2 2" xfId="7"/>
    <cellStyle name="Millares 3" xfId="5"/>
    <cellStyle name="Millares 4" xfId="8"/>
    <cellStyle name="Normal" xfId="0" builtinId="0"/>
    <cellStyle name="Normal 2" xfId="6"/>
    <cellStyle name="Normal 2 2" xfId="3"/>
    <cellStyle name="Normal 2 4" xfId="9"/>
    <cellStyle name="Normal 3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3053080" y="220218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200</xdr:row>
      <xdr:rowOff>160020</xdr:rowOff>
    </xdr:from>
    <xdr:to>
      <xdr:col>5</xdr:col>
      <xdr:colOff>407745</xdr:colOff>
      <xdr:row>200</xdr:row>
      <xdr:rowOff>160655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051175" y="32545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6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053080" y="229933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216</xdr:row>
      <xdr:rowOff>160020</xdr:rowOff>
    </xdr:from>
    <xdr:to>
      <xdr:col>5</xdr:col>
      <xdr:colOff>407745</xdr:colOff>
      <xdr:row>216</xdr:row>
      <xdr:rowOff>160655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051175" y="35135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oneCellAnchor>
    <xdr:from>
      <xdr:col>5</xdr:col>
      <xdr:colOff>1905000</xdr:colOff>
      <xdr:row>0</xdr:row>
      <xdr:rowOff>104775</xdr:rowOff>
    </xdr:from>
    <xdr:ext cx="952172" cy="845426"/>
    <xdr:pic>
      <xdr:nvPicPr>
        <xdr:cNvPr id="50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4775"/>
          <a:ext cx="952172" cy="845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381000</xdr:colOff>
      <xdr:row>5</xdr:row>
      <xdr:rowOff>47625</xdr:rowOff>
    </xdr:from>
    <xdr:ext cx="1000782" cy="864476"/>
    <xdr:pic>
      <xdr:nvPicPr>
        <xdr:cNvPr id="51" name="5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857250"/>
          <a:ext cx="1000782" cy="86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123825</xdr:colOff>
      <xdr:row>4</xdr:row>
      <xdr:rowOff>190500</xdr:rowOff>
    </xdr:from>
    <xdr:ext cx="1096360" cy="947245"/>
    <xdr:pic>
      <xdr:nvPicPr>
        <xdr:cNvPr id="52" name="53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09625"/>
          <a:ext cx="1096360" cy="94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QDC05.HTQCCPJB.local\user_file$\Abrito\Mis%20documentos\Downloads\EJECUCION%20PRESUPUESTARIA%20Septiembre%202017%20(Autoguardad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3"/>
      <sheetName val="PPNE4"/>
      <sheetName val="PPNE5"/>
      <sheetName val="PPNE6"/>
      <sheetName val="PPNE7"/>
      <sheetName val="RESUMEN CON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G10">
            <v>0</v>
          </cell>
        </row>
        <row r="11">
          <cell r="G11">
            <v>168506391.255</v>
          </cell>
        </row>
        <row r="12">
          <cell r="G12">
            <v>263081481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431587872.255</v>
          </cell>
        </row>
        <row r="17">
          <cell r="F17" t="str">
            <v>Descripción Gasto por Cuenta</v>
          </cell>
          <cell r="G17" t="str">
            <v>Consultas Externa</v>
          </cell>
          <cell r="H17" t="str">
            <v>Emergencias</v>
          </cell>
          <cell r="I17" t="str">
            <v>Hospitalización</v>
          </cell>
          <cell r="J17" t="str">
            <v>Apoyo Diagnóstico</v>
          </cell>
          <cell r="L17" t="str">
            <v>Servicios de Apoyo</v>
          </cell>
          <cell r="N17" t="str">
            <v>Total RD$</v>
          </cell>
        </row>
        <row r="18">
          <cell r="J18" t="str">
            <v>Servicios de Laboratorios y Banco de Sangre</v>
          </cell>
          <cell r="K18" t="str">
            <v>Servicios de Imágenes RX</v>
          </cell>
          <cell r="L18" t="str">
            <v>Gestión de Usuario y Educación para la Salud</v>
          </cell>
          <cell r="M18" t="str">
            <v>Gestión Técnica y Administrativa</v>
          </cell>
        </row>
        <row r="19">
          <cell r="F19" t="str">
            <v>Egresos</v>
          </cell>
          <cell r="N19">
            <v>569474890.41714287</v>
          </cell>
        </row>
        <row r="20">
          <cell r="F20" t="str">
            <v>Servicios Personales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275999211.12</v>
          </cell>
        </row>
        <row r="21">
          <cell r="F21" t="str">
            <v>Remuneraciones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226571470.06285715</v>
          </cell>
        </row>
        <row r="22">
          <cell r="F22" t="str">
            <v>Remuneraciones al personal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12910390.09714286</v>
          </cell>
        </row>
        <row r="23">
          <cell r="F23" t="str">
            <v>Sueldos fijos</v>
          </cell>
          <cell r="N23">
            <v>12910390.09714286</v>
          </cell>
        </row>
        <row r="24">
          <cell r="F24" t="str">
            <v>Sueldo a medicos</v>
          </cell>
          <cell r="N24">
            <v>0</v>
          </cell>
        </row>
        <row r="25">
          <cell r="F25" t="str">
            <v>Incentivos y escalafón</v>
          </cell>
          <cell r="N25">
            <v>0</v>
          </cell>
        </row>
        <row r="26">
          <cell r="F26" t="str">
            <v>Remuneraciones al personal con carácter transitorio</v>
          </cell>
          <cell r="N26">
            <v>213661079.96571428</v>
          </cell>
        </row>
        <row r="27">
          <cell r="F27" t="str">
            <v>Sueldos Personal contratado e Igualado</v>
          </cell>
          <cell r="N27">
            <v>189120968.72571427</v>
          </cell>
        </row>
        <row r="28">
          <cell r="F28" t="str">
            <v>Sueldos Personal Nominal</v>
          </cell>
          <cell r="N28">
            <v>0</v>
          </cell>
        </row>
        <row r="29">
          <cell r="F29" t="str">
            <v>Suplencias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185142.85714285716</v>
          </cell>
        </row>
        <row r="30">
          <cell r="F30" t="str">
            <v>Sueldo a nual no. 13</v>
          </cell>
          <cell r="N30">
            <v>20237037</v>
          </cell>
        </row>
        <row r="31">
          <cell r="F31" t="str">
            <v>Prestaciones Laborales por desvinculacion</v>
          </cell>
          <cell r="N31">
            <v>4117931.3828571429</v>
          </cell>
        </row>
        <row r="32">
          <cell r="F32" t="str">
            <v>Vacaciones</v>
          </cell>
          <cell r="N32">
            <v>0</v>
          </cell>
        </row>
        <row r="33">
          <cell r="F33" t="str">
            <v>Sobresueldos</v>
          </cell>
          <cell r="N33">
            <v>162000</v>
          </cell>
        </row>
        <row r="34">
          <cell r="F34" t="str">
            <v>Prima por Antigüedad</v>
          </cell>
          <cell r="N34">
            <v>0</v>
          </cell>
        </row>
        <row r="35">
          <cell r="F35" t="str">
            <v>Primas por antigüedad</v>
          </cell>
          <cell r="N35">
            <v>0</v>
          </cell>
        </row>
        <row r="36">
          <cell r="F36" t="str">
            <v>COMPENSACION</v>
          </cell>
          <cell r="N36">
            <v>162000</v>
          </cell>
        </row>
        <row r="37">
          <cell r="F37" t="str">
            <v>Compensacion por gastos de alimentacion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Compensacion por horas extraordinarias</v>
          </cell>
          <cell r="N38">
            <v>0</v>
          </cell>
        </row>
        <row r="39">
          <cell r="F39" t="str">
            <v>Primas de Transporte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Compensacion de servicios de Seguridad</v>
          </cell>
          <cell r="N40">
            <v>162000</v>
          </cell>
        </row>
        <row r="41">
          <cell r="F41" t="str">
            <v>Espesialimos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Espesialimos</v>
          </cell>
          <cell r="N42">
            <v>0</v>
          </cell>
        </row>
        <row r="43">
          <cell r="F43" t="str">
            <v>Dietas y Gastos de Representacion</v>
          </cell>
          <cell r="N43">
            <v>0</v>
          </cell>
        </row>
        <row r="44">
          <cell r="F44" t="str">
            <v>Dietas</v>
          </cell>
          <cell r="N44">
            <v>0</v>
          </cell>
        </row>
        <row r="45">
          <cell r="F45" t="str">
            <v>Dietas en el Pais</v>
          </cell>
          <cell r="N45">
            <v>0</v>
          </cell>
        </row>
        <row r="46">
          <cell r="F46" t="str">
            <v>Gratificaciones y Bonificaciones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18000000</v>
          </cell>
        </row>
        <row r="47">
          <cell r="F47" t="str">
            <v>Bonificaciones</v>
          </cell>
          <cell r="N47">
            <v>18000000</v>
          </cell>
        </row>
        <row r="48">
          <cell r="F48" t="str">
            <v>Bonificaciones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18000000</v>
          </cell>
        </row>
        <row r="49">
          <cell r="F49" t="str">
            <v xml:space="preserve">Contribuciones a la Segurida Social 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31265741.057142857</v>
          </cell>
        </row>
        <row r="50">
          <cell r="F50" t="str">
            <v>Contribuciones al Seguro De Salud</v>
          </cell>
          <cell r="N50">
            <v>31265741.057142857</v>
          </cell>
        </row>
        <row r="51">
          <cell r="F51" t="str">
            <v>Contribuciones al Seguro Salud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14498083.714285716</v>
          </cell>
        </row>
        <row r="52">
          <cell r="F52" t="str">
            <v>Contribuciones al Seguro de Penciones</v>
          </cell>
          <cell r="N52">
            <v>14503949.708571427</v>
          </cell>
        </row>
        <row r="53">
          <cell r="F53" t="str">
            <v>Contribuciones al Seguro de de Riesgos Laboral</v>
          </cell>
          <cell r="N53">
            <v>2263707.6342857145</v>
          </cell>
        </row>
        <row r="54">
          <cell r="F54" t="str">
            <v>CONTRATACION DE SERVICIOS</v>
          </cell>
          <cell r="N54">
            <v>75491190.731428564</v>
          </cell>
        </row>
        <row r="55">
          <cell r="F55" t="str">
            <v>Servicios Basicos</v>
          </cell>
          <cell r="N55">
            <v>3556844.3485714286</v>
          </cell>
        </row>
        <row r="56">
          <cell r="F56" t="str">
            <v>Radio Comunicación</v>
          </cell>
          <cell r="N56">
            <v>3556844.348571429</v>
          </cell>
        </row>
        <row r="57">
          <cell r="F57" t="str">
            <v>Servicios telefonicos de larga distanci</v>
          </cell>
          <cell r="N57">
            <v>2508332.2285714289</v>
          </cell>
        </row>
        <row r="58">
          <cell r="F58" t="str">
            <v>Telefonos Local</v>
          </cell>
          <cell r="N58">
            <v>0</v>
          </cell>
        </row>
        <row r="59">
          <cell r="F59" t="str">
            <v>Telefax y Correo</v>
          </cell>
          <cell r="N59">
            <v>0</v>
          </cell>
        </row>
        <row r="60">
          <cell r="F60" t="str">
            <v>Servicios de Internet y Television por Cable</v>
          </cell>
          <cell r="N60">
            <v>1048512.1200000001</v>
          </cell>
        </row>
        <row r="61">
          <cell r="F61" t="str">
            <v>Energia Electricidad</v>
          </cell>
          <cell r="N61">
            <v>0</v>
          </cell>
        </row>
        <row r="62">
          <cell r="F62" t="str">
            <v>Agua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Recolecion de residuos solidos</v>
          </cell>
          <cell r="N63">
            <v>0</v>
          </cell>
        </row>
        <row r="64">
          <cell r="F64" t="str">
            <v>Publicidad. 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1759539.6171428571</v>
          </cell>
        </row>
        <row r="65">
          <cell r="F65" t="str">
            <v>Publicidad y propaganda C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1759539.6171428571</v>
          </cell>
        </row>
        <row r="66">
          <cell r="F66" t="str">
            <v xml:space="preserve">Publicidad y propaganda </v>
          </cell>
          <cell r="N66">
            <v>1724431.9028571427</v>
          </cell>
        </row>
        <row r="67">
          <cell r="F67" t="str">
            <v>Impresión y Encuadernacion</v>
          </cell>
          <cell r="N67">
            <v>35107.71428571429</v>
          </cell>
        </row>
        <row r="68">
          <cell r="F68" t="str">
            <v>Viaticos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988371.42857142864</v>
          </cell>
        </row>
        <row r="69">
          <cell r="F69" t="str">
            <v>Viaticos Dentro del Pais C</v>
          </cell>
        </row>
        <row r="70">
          <cell r="F70" t="str">
            <v xml:space="preserve">Viaticos Dentro del Pais </v>
          </cell>
          <cell r="N70">
            <v>388371.42857142858</v>
          </cell>
        </row>
        <row r="71">
          <cell r="F71" t="str">
            <v xml:space="preserve">Viaticos Fuera del pais 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600000</v>
          </cell>
        </row>
        <row r="72">
          <cell r="F72" t="str">
            <v>Transporte y Almacenaje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142542.85714285716</v>
          </cell>
        </row>
        <row r="73">
          <cell r="F73" t="str">
            <v>Pasajes</v>
          </cell>
          <cell r="N73">
            <v>142542.8571428571</v>
          </cell>
        </row>
        <row r="74">
          <cell r="F74" t="str">
            <v>Pasajes 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428.57142857142856</v>
          </cell>
        </row>
        <row r="75">
          <cell r="F75" t="str">
            <v>Fletes</v>
          </cell>
          <cell r="N75">
            <v>138857.14285714284</v>
          </cell>
        </row>
        <row r="76">
          <cell r="F76" t="str">
            <v>Almacenaje</v>
          </cell>
          <cell r="N76">
            <v>2914.2857142857142</v>
          </cell>
        </row>
        <row r="77">
          <cell r="F77" t="str">
            <v>Peajes</v>
          </cell>
          <cell r="N77">
            <v>342.85714285714289</v>
          </cell>
        </row>
        <row r="78">
          <cell r="F78" t="str">
            <v>Alquileres y Rentas</v>
          </cell>
          <cell r="N78">
            <v>2875997.7942857146</v>
          </cell>
        </row>
        <row r="79">
          <cell r="F79" t="str">
            <v>Alquileres y rentas de edificios y locales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2875997.7942857146</v>
          </cell>
        </row>
        <row r="80">
          <cell r="F80" t="str">
            <v>Alquileres y rentas de edificios y locales A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955899.01714285719</v>
          </cell>
        </row>
        <row r="81">
          <cell r="F81" t="str">
            <v>Equipos de Produccion</v>
          </cell>
          <cell r="N81">
            <v>0</v>
          </cell>
        </row>
        <row r="82">
          <cell r="F82" t="str">
            <v>Equipos Educacional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 xml:space="preserve">Equipos para Computacion </v>
          </cell>
          <cell r="N83">
            <v>0</v>
          </cell>
        </row>
        <row r="84">
          <cell r="F84" t="str">
            <v>Equipos de Oficina y muebles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F85" t="str">
            <v>Equipos de Transporte, Traccion y Elevacion</v>
          </cell>
          <cell r="N85">
            <v>1531440</v>
          </cell>
        </row>
        <row r="86">
          <cell r="F86" t="str">
            <v>Otros Alquileres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388658.77714285714</v>
          </cell>
        </row>
        <row r="87">
          <cell r="F87" t="str">
            <v>Seguro</v>
          </cell>
          <cell r="N87">
            <v>5164818.9371428574</v>
          </cell>
        </row>
        <row r="88">
          <cell r="F88" t="str">
            <v>Seguros De Bienes Muebles e Inmuebles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5164818.9371428574</v>
          </cell>
        </row>
        <row r="89">
          <cell r="F89" t="str">
            <v xml:space="preserve">Seguro de Bienes Inmuebles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5000000</v>
          </cell>
        </row>
        <row r="90">
          <cell r="F90" t="str">
            <v xml:space="preserve">Seguro de Bienes Muebles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164818.93714285715</v>
          </cell>
        </row>
        <row r="91">
          <cell r="F91" t="str">
            <v>Seguros de Personas</v>
          </cell>
          <cell r="N91">
            <v>0</v>
          </cell>
        </row>
        <row r="92">
          <cell r="F92" t="str">
            <v>Seguros de la Produccion Agricola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OTROS SEGUROS</v>
          </cell>
          <cell r="N93">
            <v>0</v>
          </cell>
        </row>
        <row r="94">
          <cell r="F94" t="str">
            <v>Serv. De Conserv., Rep. Menores E Instalac. Temp.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24772044.268571429</v>
          </cell>
        </row>
        <row r="95">
          <cell r="F95" t="str">
            <v>Contratacion de Obras Menores</v>
          </cell>
          <cell r="N95">
            <v>12867557.257142857</v>
          </cell>
        </row>
        <row r="96">
          <cell r="F96" t="str">
            <v>Obras Menores en edificaciones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Serv. Especiales de Mantenimientos y reparacion</v>
          </cell>
          <cell r="N97">
            <v>12800000</v>
          </cell>
        </row>
        <row r="98">
          <cell r="F98" t="str">
            <v>Limpieza,Desmalezamiento de tierras y terrenos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67557.257142857154</v>
          </cell>
        </row>
        <row r="99">
          <cell r="F99" t="str">
            <v>Instalacion Electrica</v>
          </cell>
          <cell r="N99">
            <v>0</v>
          </cell>
        </row>
        <row r="100">
          <cell r="F100" t="str">
            <v>Serv. de Pintura y deriv. con fin de Higiene y embellec.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Mant. Y Reparaciones de Maquinarias y Equipos</v>
          </cell>
          <cell r="N101">
            <v>11904487.011428572</v>
          </cell>
        </row>
        <row r="102">
          <cell r="F102" t="str">
            <v>Manten. y reparacion de muebles y equip. de oficina</v>
          </cell>
          <cell r="N102">
            <v>10479724.748571429</v>
          </cell>
        </row>
        <row r="103">
          <cell r="F103" t="str">
            <v>Mantenimientos y reparacion Equipos Computacion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Mantenimientos y reparacion Equipos educacion</v>
          </cell>
          <cell r="N104">
            <v>0</v>
          </cell>
        </row>
        <row r="105">
          <cell r="F105" t="str">
            <v>Manten. y reparacion Equip. sanitarios y de Laborat.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1281980.04</v>
          </cell>
        </row>
        <row r="106">
          <cell r="F106" t="str">
            <v>Manten. y reparacion Equipos de comunicación</v>
          </cell>
          <cell r="N106">
            <v>0</v>
          </cell>
        </row>
        <row r="107">
          <cell r="F107" t="str">
            <v>Manten. y repar. Equip. de transp. ,traccion y elevacion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142782.22285714286</v>
          </cell>
        </row>
        <row r="108">
          <cell r="F108" t="str">
            <v>OTROS SERV. NO INCLUID. EN CONCEPT. ANTERIORES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36231031.479999997</v>
          </cell>
        </row>
        <row r="109">
          <cell r="F109" t="str">
            <v>Gastos Judiciales</v>
          </cell>
          <cell r="N109">
            <v>17764124.297142856</v>
          </cell>
        </row>
        <row r="110">
          <cell r="F110" t="str">
            <v>Comiciones y Gastos Bancarios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284604.01714285719</v>
          </cell>
        </row>
        <row r="111">
          <cell r="F111" t="str">
            <v>Servicios Sanitarios Medicos y Veterinario</v>
          </cell>
          <cell r="N111">
            <v>0</v>
          </cell>
        </row>
        <row r="112">
          <cell r="F112" t="str">
            <v>Servicios Funerarios y Gastos Conexos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Limpieza e Higiene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33471.428571428572</v>
          </cell>
        </row>
        <row r="114">
          <cell r="F114" t="str">
            <v xml:space="preserve">Estudios de Ingen.,arquitect.,investigac.y analis. Fact. </v>
          </cell>
          <cell r="N114">
            <v>4285.7142857142862</v>
          </cell>
        </row>
        <row r="115">
          <cell r="F115" t="str">
            <v>Servicios Juridicos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78450.377142857149</v>
          </cell>
        </row>
        <row r="116">
          <cell r="F116" t="str">
            <v>Servicio de Comtabilidad y Auditoria</v>
          </cell>
          <cell r="N116">
            <v>0</v>
          </cell>
        </row>
        <row r="117">
          <cell r="F117" t="str">
            <v xml:space="preserve">Servicios de Capacitacion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1000000</v>
          </cell>
        </row>
        <row r="118">
          <cell r="F118" t="str">
            <v>Servicios de Informatica y Sistemas Computarizados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F119" t="str">
            <v>Otros Serv. Tecnicos Profecionales</v>
          </cell>
          <cell r="N119">
            <v>8192552.2457142863</v>
          </cell>
        </row>
        <row r="120">
          <cell r="F120" t="str">
            <v>Impuestos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8873543.3999999985</v>
          </cell>
        </row>
        <row r="121">
          <cell r="F121" t="str">
            <v>Derechos</v>
          </cell>
          <cell r="N121">
            <v>0</v>
          </cell>
        </row>
        <row r="122">
          <cell r="F122" t="str">
            <v>Otros Gastos por Idemniz.  y Compensaciones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Materiales y Suministros</v>
          </cell>
          <cell r="N123">
            <v>120531829.84</v>
          </cell>
        </row>
        <row r="124">
          <cell r="F124" t="str">
            <v>Alimentos y productos Agroforestales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17883777.445714291</v>
          </cell>
        </row>
        <row r="125">
          <cell r="F125" t="str">
            <v>Alimentos y Bebidas Para Personas</v>
          </cell>
          <cell r="N125">
            <v>17168749.217142861</v>
          </cell>
        </row>
        <row r="126">
          <cell r="F126" t="str">
            <v>Alimentos y Bebidas Para Personas A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17037706.09714286</v>
          </cell>
        </row>
        <row r="127">
          <cell r="F127" t="str">
            <v>Alimentos para Animales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Pecuarios</v>
          </cell>
          <cell r="N128">
            <v>0</v>
          </cell>
        </row>
        <row r="129">
          <cell r="F129" t="str">
            <v>Productos Agricolas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Productos Forestales</v>
          </cell>
          <cell r="N130">
            <v>131043.12</v>
          </cell>
        </row>
        <row r="131">
          <cell r="F131" t="str">
            <v>Madera, corcho y sus Manufacturas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TEXTILES Y VESTUARIOS</v>
          </cell>
          <cell r="N132">
            <v>715028.22857142857</v>
          </cell>
        </row>
        <row r="133">
          <cell r="F133" t="str">
            <v>Hilados y telas</v>
          </cell>
          <cell r="N133">
            <v>715028.22857142857</v>
          </cell>
        </row>
        <row r="134">
          <cell r="F134" t="str">
            <v>Hilados y telas A</v>
          </cell>
          <cell r="N134">
            <v>0</v>
          </cell>
        </row>
        <row r="135">
          <cell r="F135" t="str">
            <v>Acavados textiles</v>
          </cell>
          <cell r="N135">
            <v>36612</v>
          </cell>
        </row>
        <row r="136">
          <cell r="F136" t="str">
            <v>Prendas de vestir</v>
          </cell>
          <cell r="N136">
            <v>678416.22857142857</v>
          </cell>
        </row>
        <row r="137">
          <cell r="F137" t="str">
            <v>Calzados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Productos de Papel,calton e Impresos</v>
          </cell>
          <cell r="N138">
            <v>3464569.6628571427</v>
          </cell>
        </row>
        <row r="139">
          <cell r="F139" t="str">
            <v>Papel De Escritorio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3464569.6628571427</v>
          </cell>
        </row>
        <row r="140">
          <cell r="F140" t="str">
            <v>Peapel de Escritorio</v>
          </cell>
          <cell r="N140">
            <v>243784.50857142857</v>
          </cell>
        </row>
        <row r="141">
          <cell r="F141" t="str">
            <v>Productos de papel y Carton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2567933.8457142855</v>
          </cell>
        </row>
        <row r="142">
          <cell r="F142" t="str">
            <v>Productos de Artes Graficas</v>
          </cell>
          <cell r="N142">
            <v>652851.30857142853</v>
          </cell>
        </row>
        <row r="143">
          <cell r="F143" t="str">
            <v>Libros,Revistas y Periodicos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Textos de Enseñanzas</v>
          </cell>
          <cell r="N144">
            <v>0</v>
          </cell>
        </row>
        <row r="145">
          <cell r="F145" t="str">
            <v>Especies Timbradas y Valoradas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FARMACEUTICOS</v>
          </cell>
          <cell r="N146">
            <v>24821569.371428572</v>
          </cell>
        </row>
        <row r="147">
          <cell r="F147" t="str">
            <v>Productos Medicinales para uso humano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F148" t="str">
            <v>Productos Medicinales para uso humano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24821569.371428572</v>
          </cell>
        </row>
        <row r="149">
          <cell r="F149" t="str">
            <v>Productos Medicinales para uso Veterinario</v>
          </cell>
          <cell r="N149">
            <v>0</v>
          </cell>
        </row>
        <row r="150">
          <cell r="F150" t="str">
            <v>Productos de Cuero, Caucho y Plastico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2268082.8342857137</v>
          </cell>
        </row>
        <row r="151">
          <cell r="F151" t="str">
            <v>Cueros y Pieles</v>
          </cell>
          <cell r="N151">
            <v>2268082.8342857137</v>
          </cell>
        </row>
        <row r="152">
          <cell r="F152" t="str">
            <v>Cueros y Pieles A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Articulos de cueros</v>
          </cell>
          <cell r="N153">
            <v>0</v>
          </cell>
        </row>
        <row r="154">
          <cell r="F154" t="str">
            <v>Llantas y Neumaticos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Articulos de Caucho</v>
          </cell>
          <cell r="N155">
            <v>81718.457142857136</v>
          </cell>
        </row>
        <row r="156">
          <cell r="F156" t="str">
            <v>Articulos de Plasticos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2186364.3771428568</v>
          </cell>
        </row>
        <row r="157">
          <cell r="F157" t="str">
            <v>Productos Minerales Metalicos y no Metalicos</v>
          </cell>
          <cell r="N157">
            <v>553108.35428571433</v>
          </cell>
        </row>
        <row r="158">
          <cell r="F158" t="str">
            <v>Prod. de Cemento, cal, asbetos, yeso y arcilla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82328.57142857142</v>
          </cell>
        </row>
        <row r="159">
          <cell r="F159" t="str">
            <v>Productos de Cemento</v>
          </cell>
          <cell r="N159">
            <v>34868.571428571428</v>
          </cell>
        </row>
        <row r="160">
          <cell r="F160" t="str">
            <v>Productos de Cal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Asbesto</v>
          </cell>
          <cell r="N161">
            <v>0</v>
          </cell>
        </row>
        <row r="162">
          <cell r="F162" t="str">
            <v>Productos de Yeso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Arcilla y Derivados</v>
          </cell>
          <cell r="N163">
            <v>47460</v>
          </cell>
        </row>
        <row r="164">
          <cell r="F164" t="str">
            <v>Productos de Vidrio, Loza, y Porcelana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459273.15428571426</v>
          </cell>
        </row>
        <row r="165">
          <cell r="F165" t="str">
            <v>Productos de Vidrios</v>
          </cell>
          <cell r="N165">
            <v>66994.28571428571</v>
          </cell>
        </row>
        <row r="166">
          <cell r="F166" t="str">
            <v>Productos de Loza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de Porcelana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Metalicos y sus Derivados</v>
          </cell>
          <cell r="N168">
            <v>392278.86857142858</v>
          </cell>
        </row>
        <row r="169">
          <cell r="F169" t="str">
            <v>Productos  Ferrosos</v>
          </cell>
          <cell r="N169">
            <v>4868.5714285714284</v>
          </cell>
        </row>
        <row r="170">
          <cell r="F170" t="str">
            <v>Productos no Ferrosos</v>
          </cell>
          <cell r="N170">
            <v>0</v>
          </cell>
        </row>
        <row r="171">
          <cell r="F171" t="str">
            <v>Estructuras Metalicas Acabadas</v>
          </cell>
          <cell r="N171">
            <v>355835.16000000003</v>
          </cell>
        </row>
        <row r="172">
          <cell r="F172" t="str">
            <v>Herramientas Menores</v>
          </cell>
          <cell r="N172">
            <v>31575.137142857147</v>
          </cell>
        </row>
        <row r="173">
          <cell r="F173" t="str">
            <v xml:space="preserve">Minerales </v>
          </cell>
          <cell r="N173">
            <v>11506.628571428571</v>
          </cell>
        </row>
        <row r="174">
          <cell r="F174" t="str">
            <v>Minerales Metaliferos</v>
          </cell>
          <cell r="N174">
            <v>0</v>
          </cell>
        </row>
        <row r="175">
          <cell r="F175" t="str">
            <v>Piedra, Arcilla y Arena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11506.628571428571</v>
          </cell>
        </row>
        <row r="176">
          <cell r="F176" t="str">
            <v>Otros minerales</v>
          </cell>
          <cell r="N176">
            <v>0</v>
          </cell>
        </row>
        <row r="177">
          <cell r="F177" t="str">
            <v>Combustibles, Lubric., Prod. Quim. y Conexos</v>
          </cell>
          <cell r="N177">
            <v>22143874.320000004</v>
          </cell>
        </row>
        <row r="178">
          <cell r="F178" t="str">
            <v>Combustibles y Lubricantes</v>
          </cell>
          <cell r="N178">
            <v>3584501.9142857143</v>
          </cell>
        </row>
        <row r="179">
          <cell r="F179" t="str">
            <v>Gasolina</v>
          </cell>
          <cell r="N179">
            <v>484667.62285714288</v>
          </cell>
        </row>
        <row r="180">
          <cell r="F180" t="str">
            <v>Gasoil</v>
          </cell>
          <cell r="N180">
            <v>2529091.5942857144</v>
          </cell>
        </row>
        <row r="181">
          <cell r="F181" t="str">
            <v>Gas GLP</v>
          </cell>
          <cell r="N181">
            <v>465282.85714285716</v>
          </cell>
        </row>
        <row r="182">
          <cell r="F182" t="str">
            <v>Aceites y Grasas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19160.125714285714</v>
          </cell>
        </row>
        <row r="183">
          <cell r="F183" t="str">
            <v>Lubricantes</v>
          </cell>
          <cell r="N183">
            <v>86299.71428571429</v>
          </cell>
        </row>
        <row r="184">
          <cell r="F184" t="str">
            <v>Productos Quimicos y Conexos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18559372.405714288</v>
          </cell>
        </row>
        <row r="185">
          <cell r="F185" t="str">
            <v>Productos Explosivos y Piroitecnia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Productos Fotoquimicos</v>
          </cell>
          <cell r="N186">
            <v>0</v>
          </cell>
        </row>
        <row r="187">
          <cell r="F187" t="str">
            <v>Productos Quimico de uso Personal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18086909.622857146</v>
          </cell>
        </row>
        <row r="188">
          <cell r="F188" t="str">
            <v>Abonos y fertilizantes</v>
          </cell>
          <cell r="N188">
            <v>9733.7142857142862</v>
          </cell>
        </row>
        <row r="189">
          <cell r="F189" t="str">
            <v>Insecticida, Fumigantes y Otros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23966.211428571431</v>
          </cell>
        </row>
        <row r="190">
          <cell r="F190" t="str">
            <v>Pints.,lacas barnic. ,diluyent. y absorb. para tinturas</v>
          </cell>
          <cell r="N190">
            <v>438762.85714285716</v>
          </cell>
        </row>
        <row r="191">
          <cell r="F191" t="str">
            <v>Productos y Utiles Varios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48681819.622857139</v>
          </cell>
        </row>
        <row r="192">
          <cell r="F192" t="str">
            <v>Material para Limpieza</v>
          </cell>
        </row>
        <row r="193">
          <cell r="F193" t="str">
            <v>Material de Limpieza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830479.78285714285</v>
          </cell>
        </row>
        <row r="194">
          <cell r="F194" t="str">
            <v>Útiles de escritorio, ofic., inform. y de enseñanza</v>
          </cell>
          <cell r="N194">
            <v>480485.4</v>
          </cell>
        </row>
        <row r="195">
          <cell r="F195" t="str">
            <v>Utiles Menores Medicos-Quirurgicos</v>
          </cell>
          <cell r="N195">
            <v>41869944.154285714</v>
          </cell>
        </row>
        <row r="196">
          <cell r="F196" t="str">
            <v>Utilies de Cocina y Comedor</v>
          </cell>
          <cell r="N196">
            <v>0</v>
          </cell>
        </row>
        <row r="197">
          <cell r="F197" t="str">
            <v>Productos Electricos y Afines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5500000</v>
          </cell>
        </row>
        <row r="198">
          <cell r="F198" t="str">
            <v>Productos y Uttiles Veterinarios</v>
          </cell>
          <cell r="N198">
            <v>0</v>
          </cell>
        </row>
        <row r="199">
          <cell r="F199" t="str">
            <v>Otros repuestos y accesorios menores</v>
          </cell>
          <cell r="N199">
            <v>910.28571428571433</v>
          </cell>
        </row>
        <row r="200">
          <cell r="F200" t="str">
            <v>Prod. y Utiles Varios no identif. Precedentem.(N.I.P.)</v>
          </cell>
          <cell r="N200">
            <v>0</v>
          </cell>
        </row>
        <row r="201">
          <cell r="F201" t="str">
            <v>Transferencias Corriente</v>
          </cell>
          <cell r="N201">
            <v>0</v>
          </cell>
        </row>
        <row r="202">
          <cell r="F202" t="str">
            <v>Transferencias Corriente al Sector Privado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Ayuda y Donaciones a Personas</v>
          </cell>
          <cell r="N203">
            <v>0</v>
          </cell>
        </row>
        <row r="204">
          <cell r="F204" t="str">
            <v>Ayuda y Donaciones Program. a hogares y Person.</v>
          </cell>
          <cell r="N204">
            <v>0</v>
          </cell>
        </row>
        <row r="205">
          <cell r="F205" t="str">
            <v>Transferencias Capital</v>
          </cell>
          <cell r="N205">
            <v>0</v>
          </cell>
        </row>
        <row r="206">
          <cell r="F206" t="str">
            <v>Transferencias de capital al sector privado</v>
          </cell>
          <cell r="N206">
            <v>0</v>
          </cell>
        </row>
        <row r="207">
          <cell r="F207" t="str">
            <v xml:space="preserve">Trasnferencia de capital a hogares y personas </v>
          </cell>
          <cell r="N207">
            <v>0</v>
          </cell>
        </row>
        <row r="208">
          <cell r="F208" t="str">
            <v>Transferencias de capital a Asociaciones Privadas sin Fines de Lucro</v>
          </cell>
          <cell r="N208">
            <v>0</v>
          </cell>
        </row>
        <row r="209">
          <cell r="F209" t="str">
            <v>Transferencias de capital a Asociaciones Privadas sin Fines de Lucro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F210" t="str">
            <v>Transferencia de capital a empresas del sector privado interno</v>
          </cell>
          <cell r="N210">
            <v>0</v>
          </cell>
        </row>
        <row r="211">
          <cell r="F211" t="str">
            <v>Transferencia de capital a empresas del sector privado interno</v>
          </cell>
          <cell r="N211">
            <v>0</v>
          </cell>
        </row>
        <row r="212">
          <cell r="F212" t="str">
            <v>BIENES MUEBLES, INMUEBLES E INTANGIBLES</v>
          </cell>
          <cell r="N212">
            <v>94837701.475714296</v>
          </cell>
        </row>
        <row r="213">
          <cell r="F213" t="str">
            <v>MOBILIARIOS Y EQUIPOS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7645278.6285714284</v>
          </cell>
        </row>
        <row r="214">
          <cell r="F214" t="str">
            <v>Mueble de la Oficina y Estanteria</v>
          </cell>
          <cell r="N214">
            <v>7645278.6285714284</v>
          </cell>
        </row>
        <row r="215">
          <cell r="F215" t="str">
            <v>Mueble de la Oficina y Estanteria A</v>
          </cell>
          <cell r="N215">
            <v>203400</v>
          </cell>
        </row>
        <row r="216">
          <cell r="F216" t="str">
            <v xml:space="preserve">Muebles de Alojamiento </v>
          </cell>
          <cell r="N216">
            <v>150000</v>
          </cell>
        </row>
        <row r="217">
          <cell r="F217" t="str">
            <v>Equipos Computo</v>
          </cell>
          <cell r="N217">
            <v>4244000</v>
          </cell>
        </row>
        <row r="218">
          <cell r="F218" t="str">
            <v>Electrodometicos</v>
          </cell>
          <cell r="N218">
            <v>47878.628571428577</v>
          </cell>
        </row>
        <row r="219">
          <cell r="F219" t="str">
            <v>Otros Mobiliarios y Equ. no identificados presedentemente</v>
          </cell>
          <cell r="N219">
            <v>3000000</v>
          </cell>
        </row>
        <row r="220">
          <cell r="F220" t="str">
            <v>Moviliarios y Equipos Educacional y Educativo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22388.571428571428</v>
          </cell>
        </row>
        <row r="221">
          <cell r="F221" t="str">
            <v>Equipos y Aparatos de Audiovisuales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22388.571428571428</v>
          </cell>
        </row>
        <row r="222">
          <cell r="F222" t="str">
            <v>Equipos de Aparatos de Audiovisuales</v>
          </cell>
          <cell r="N222">
            <v>22388.571428571428</v>
          </cell>
        </row>
        <row r="223">
          <cell r="F223" t="str">
            <v>Aparatos Deportivos</v>
          </cell>
          <cell r="N223">
            <v>0</v>
          </cell>
        </row>
        <row r="224">
          <cell r="F224" t="str">
            <v>Camaras Fotograficas y de Videos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EQUIPO E INSTRUM. CIENTIFICO Y LABORATORIO</v>
          </cell>
          <cell r="N225">
            <v>49435256.390000001</v>
          </cell>
        </row>
        <row r="226">
          <cell r="F226" t="str">
            <v>Equipo Medico y De Laboratorio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49435256.390000001</v>
          </cell>
        </row>
        <row r="227">
          <cell r="F227" t="str">
            <v>Equipo Medico y De Laboratorio C</v>
          </cell>
          <cell r="N227">
            <v>46859287.670000002</v>
          </cell>
        </row>
        <row r="228">
          <cell r="F228" t="str">
            <v>Instrumental Medico y De Laboratorio</v>
          </cell>
          <cell r="N228">
            <v>2575968.7199999997</v>
          </cell>
        </row>
        <row r="229">
          <cell r="F229" t="str">
            <v>VEHIC. Y EQU. DE TRANSP. TRACC. Y ELEVACIO</v>
          </cell>
          <cell r="N229">
            <v>7734331.7371428572</v>
          </cell>
        </row>
        <row r="230">
          <cell r="F230" t="str">
            <v>Automoviles y Camiones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F231" t="str">
            <v>Automoviles y Camiones</v>
          </cell>
          <cell r="N231">
            <v>3434331.7371428572</v>
          </cell>
        </row>
        <row r="232">
          <cell r="F232" t="str">
            <v>Otros Equipos de Transporte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4300000</v>
          </cell>
        </row>
        <row r="233">
          <cell r="F233" t="str">
            <v>MAQUINARIA , OTROS EQUIPOS Y HERRAMIENTAS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27751817.565714285</v>
          </cell>
        </row>
        <row r="234">
          <cell r="F234" t="str">
            <v>Maquinarias y Equipo agropecuario</v>
          </cell>
          <cell r="N234">
            <v>0</v>
          </cell>
        </row>
        <row r="235">
          <cell r="F235" t="str">
            <v>Maquinarias y Equipo agropecuario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Maquinarias y Equipos Industriales</v>
          </cell>
          <cell r="N236">
            <v>1235908.7828571429</v>
          </cell>
        </row>
        <row r="237">
          <cell r="F237" t="str">
            <v>Maquinarias y Equipos Industriales 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1200000</v>
          </cell>
        </row>
        <row r="238">
          <cell r="F238" t="str">
            <v>Sistema de Aire Acondicionado, Calefaccion, Refigeracion</v>
          </cell>
          <cell r="N238">
            <v>21080000</v>
          </cell>
        </row>
        <row r="239">
          <cell r="F239" t="str">
            <v>Equ. de Comunicación,Telecom. y Señalamiento</v>
          </cell>
          <cell r="N239">
            <v>1235908.7828571429</v>
          </cell>
        </row>
        <row r="240">
          <cell r="F240" t="str">
            <v>Equ. de generac. elect., aparatos y acesorios elect.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3000000</v>
          </cell>
        </row>
        <row r="241">
          <cell r="F241" t="str">
            <v>Herramientas y Maquinarias-Herramientas</v>
          </cell>
          <cell r="N241">
            <v>0</v>
          </cell>
        </row>
        <row r="242">
          <cell r="F242" t="str">
            <v xml:space="preserve">Otros Equipos  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F243" t="str">
            <v>Equipos de defensa y seguridad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F244" t="str">
            <v>Equipos de defensa de defensa</v>
          </cell>
          <cell r="N244">
            <v>0</v>
          </cell>
        </row>
        <row r="245">
          <cell r="F245" t="str">
            <v>Equipos de defensa de defensa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F246" t="str">
            <v>Equipos de seguridad</v>
          </cell>
          <cell r="N246">
            <v>0</v>
          </cell>
        </row>
        <row r="247">
          <cell r="F247" t="str">
            <v>Equipos de seguridad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F248" t="str">
            <v>ACTIVOS BIOLOGICOS CULTIVABLES</v>
          </cell>
          <cell r="N248">
            <v>0</v>
          </cell>
        </row>
        <row r="249">
          <cell r="F249" t="str">
            <v>Arboles, Cultivos y Plantas que generan Prod. Recurrentes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F250" t="str">
            <v>BIENES INTANGIBLES</v>
          </cell>
          <cell r="N250">
            <v>2248628.5828571431</v>
          </cell>
        </row>
        <row r="251">
          <cell r="F251" t="str">
            <v>Programas de Informatica y Base de Datos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1598628.5828571429</v>
          </cell>
        </row>
        <row r="252">
          <cell r="F252" t="str">
            <v>Programas de Informatica</v>
          </cell>
          <cell r="N252">
            <v>650000</v>
          </cell>
        </row>
        <row r="253">
          <cell r="F253" t="str">
            <v>Estudio de Preinversion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F254" t="str">
            <v>Estudio de Preinversion</v>
          </cell>
          <cell r="N254">
            <v>0</v>
          </cell>
        </row>
        <row r="255">
          <cell r="F255" t="str">
            <v>Licencias Informat. e Intelet., Industr. y Comerc.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F256" t="str">
            <v>Informatica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F257" t="str">
            <v>Edificios y estructuras</v>
          </cell>
          <cell r="N257">
            <v>0</v>
          </cell>
        </row>
        <row r="258">
          <cell r="F258" t="str">
            <v>Edificios residenciales ( Viviendas 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F259" t="str">
            <v>Edificios residenciales ( Viviendas )</v>
          </cell>
          <cell r="N259">
            <v>0</v>
          </cell>
        </row>
        <row r="260">
          <cell r="F260" t="str">
            <v>Edificios No Residenciales</v>
          </cell>
          <cell r="N260">
            <v>0</v>
          </cell>
        </row>
        <row r="261">
          <cell r="F261" t="str">
            <v>Edificios No Residenciales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F262" t="str">
            <v>Otras estructuras</v>
          </cell>
          <cell r="N262">
            <v>0</v>
          </cell>
        </row>
        <row r="263">
          <cell r="F263" t="str">
            <v>Otras estructuras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>
            <v>0</v>
          </cell>
        </row>
        <row r="264">
          <cell r="F264" t="str">
            <v>Obras para edificacion de otras estructuras</v>
          </cell>
          <cell r="N264">
            <v>2614957.25</v>
          </cell>
        </row>
        <row r="265">
          <cell r="F265" t="str">
            <v>Obras para edificacion de otras estructuras</v>
          </cell>
          <cell r="N265">
            <v>2614957.25</v>
          </cell>
        </row>
        <row r="268">
          <cell r="F268" t="str">
            <v>PRESUPUESTO  DE INVERSION 2017</v>
          </cell>
        </row>
        <row r="269">
          <cell r="F269" t="str">
            <v xml:space="preserve">  AMBULANCIAS DE 3ER NIVEL</v>
          </cell>
          <cell r="I269">
            <v>4100000</v>
          </cell>
          <cell r="N269">
            <v>4100000</v>
          </cell>
        </row>
        <row r="270">
          <cell r="F270" t="str">
            <v>REPARACION PARQUEO</v>
          </cell>
          <cell r="I270">
            <v>4800000</v>
          </cell>
          <cell r="N270">
            <v>4800000</v>
          </cell>
        </row>
        <row r="271">
          <cell r="F271" t="str">
            <v>SISTEMA BRAZO EN C</v>
          </cell>
          <cell r="I271">
            <v>1360757.24</v>
          </cell>
          <cell r="N271">
            <v>1360757.24</v>
          </cell>
        </row>
        <row r="272">
          <cell r="F272" t="str">
            <v>MAQUINA DE ANESTECIA</v>
          </cell>
          <cell r="I272">
            <v>1000000</v>
          </cell>
          <cell r="N272">
            <v>1000000</v>
          </cell>
        </row>
        <row r="273">
          <cell r="F273" t="str">
            <v>MICROSCOPIO</v>
          </cell>
          <cell r="I273">
            <v>5578800</v>
          </cell>
          <cell r="N273">
            <v>5578800</v>
          </cell>
        </row>
        <row r="274">
          <cell r="F274" t="str">
            <v>PANORAMICO</v>
          </cell>
          <cell r="I274">
            <v>1624580</v>
          </cell>
          <cell r="N274">
            <v>1624580</v>
          </cell>
        </row>
        <row r="275">
          <cell r="F275" t="str">
            <v>MAMOGRAFO</v>
          </cell>
          <cell r="I275">
            <v>2044152</v>
          </cell>
          <cell r="N275">
            <v>2044152</v>
          </cell>
        </row>
        <row r="276">
          <cell r="F276" t="str">
            <v>DESINTOMETRO</v>
          </cell>
          <cell r="I276">
            <v>1872000</v>
          </cell>
          <cell r="N276">
            <v>1872000</v>
          </cell>
        </row>
        <row r="277">
          <cell r="F277" t="str">
            <v>EQUIPO DE RAYOS X</v>
          </cell>
          <cell r="I277">
            <v>1183443.43</v>
          </cell>
          <cell r="N277">
            <v>1183443.43</v>
          </cell>
        </row>
        <row r="278">
          <cell r="F278" t="str">
            <v>SONOGRAFO</v>
          </cell>
          <cell r="I278">
            <v>2415555</v>
          </cell>
          <cell r="N278">
            <v>2415555</v>
          </cell>
        </row>
        <row r="279">
          <cell r="F279" t="str">
            <v>1 CAMARA HIPERBARICA</v>
          </cell>
          <cell r="I279">
            <v>580000</v>
          </cell>
          <cell r="N279">
            <v>580000</v>
          </cell>
        </row>
        <row r="280">
          <cell r="F280" t="str">
            <v>Subtotal</v>
          </cell>
          <cell r="I280">
            <v>26559287.670000002</v>
          </cell>
          <cell r="N280">
            <v>26559287.670000002</v>
          </cell>
        </row>
        <row r="282">
          <cell r="F282" t="str">
            <v>CHILLER</v>
          </cell>
          <cell r="I282">
            <v>19000000</v>
          </cell>
          <cell r="N282">
            <v>19000000</v>
          </cell>
        </row>
        <row r="283">
          <cell r="F283" t="str">
            <v>TOMOGRAFO DE 8 CORTES</v>
          </cell>
          <cell r="I283">
            <v>13000000</v>
          </cell>
          <cell r="N283">
            <v>13000000</v>
          </cell>
        </row>
        <row r="284">
          <cell r="F284" t="str">
            <v>TUBO  - TOMOGRAFO</v>
          </cell>
          <cell r="I284">
            <v>4048000</v>
          </cell>
          <cell r="N284">
            <v>5500000</v>
          </cell>
        </row>
        <row r="285">
          <cell r="F285" t="str">
            <v>MAQUINA DE ANESTECIA</v>
          </cell>
          <cell r="I285">
            <v>3800000</v>
          </cell>
          <cell r="N285">
            <v>3800000</v>
          </cell>
        </row>
        <row r="286">
          <cell r="F286" t="str">
            <v>VENTILADORES MECANICO</v>
          </cell>
          <cell r="I286">
            <v>4000000</v>
          </cell>
          <cell r="N286">
            <v>4000000</v>
          </cell>
        </row>
        <row r="287">
          <cell r="F287" t="str">
            <v>MAQUINA DE HEMODIALISIS</v>
          </cell>
          <cell r="I287">
            <v>2100000</v>
          </cell>
          <cell r="N287">
            <v>2100000</v>
          </cell>
        </row>
        <row r="288">
          <cell r="F288" t="str">
            <v>SERVIDORES</v>
          </cell>
          <cell r="I288">
            <v>744000</v>
          </cell>
          <cell r="N288">
            <v>744000</v>
          </cell>
        </row>
        <row r="289">
          <cell r="F289" t="str">
            <v>SISTEMA DE ESTERILIZACION A PEROXIDO DE HIDROGENO</v>
          </cell>
          <cell r="I289">
            <v>5000000</v>
          </cell>
          <cell r="N289">
            <v>5000000</v>
          </cell>
        </row>
        <row r="290">
          <cell r="F290" t="str">
            <v>CONSTRUCCION CISTERNA</v>
          </cell>
          <cell r="I290">
            <v>2614957.25</v>
          </cell>
          <cell r="N290">
            <v>2614957.25</v>
          </cell>
        </row>
        <row r="291">
          <cell r="F291" t="str">
            <v>SEGURO DEL HOSPITAL</v>
          </cell>
          <cell r="N291">
            <v>5000000</v>
          </cell>
        </row>
        <row r="292">
          <cell r="F292" t="str">
            <v>AIRE ACONDICIONADO</v>
          </cell>
          <cell r="I292">
            <v>272000</v>
          </cell>
          <cell r="N292">
            <v>580000</v>
          </cell>
        </row>
        <row r="293">
          <cell r="F293" t="str">
            <v>LICENCIA SQL SERVER</v>
          </cell>
          <cell r="N293">
            <v>150000</v>
          </cell>
        </row>
        <row r="294">
          <cell r="F294" t="str">
            <v>ANTIVIRUS</v>
          </cell>
          <cell r="N294">
            <v>500000</v>
          </cell>
        </row>
        <row r="295">
          <cell r="F295" t="str">
            <v>ROUTER MARAQUI</v>
          </cell>
          <cell r="N295">
            <v>1500000</v>
          </cell>
        </row>
        <row r="296">
          <cell r="F296" t="str">
            <v>REPARACION TECHO</v>
          </cell>
          <cell r="N296">
            <v>8000000</v>
          </cell>
        </row>
        <row r="297">
          <cell r="F297" t="str">
            <v>BRONCOSCOPIO</v>
          </cell>
          <cell r="N297">
            <v>500000</v>
          </cell>
        </row>
        <row r="298">
          <cell r="F298" t="str">
            <v>FIBROLARINGOSCOPIO</v>
          </cell>
          <cell r="N298">
            <v>500000</v>
          </cell>
        </row>
        <row r="299">
          <cell r="F299" t="str">
            <v>RECETOSCOPIO</v>
          </cell>
          <cell r="N299">
            <v>300000</v>
          </cell>
        </row>
        <row r="300">
          <cell r="F300" t="str">
            <v>SERPENTINES PARA AIRE CHILER (120,000)</v>
          </cell>
          <cell r="N300">
            <v>1500000</v>
          </cell>
        </row>
        <row r="301">
          <cell r="F301" t="str">
            <v>PLANTA ELECTRICA DE 300 KILO</v>
          </cell>
          <cell r="N301">
            <v>3000000</v>
          </cell>
        </row>
        <row r="302">
          <cell r="F302" t="str">
            <v>MOTOR CG 150</v>
          </cell>
          <cell r="N302">
            <v>50000</v>
          </cell>
        </row>
        <row r="303">
          <cell r="F303" t="str">
            <v>MOTOR REMOLQUE</v>
          </cell>
          <cell r="N303">
            <v>150000</v>
          </cell>
        </row>
        <row r="304">
          <cell r="F304" t="str">
            <v>SISTEMA DE CAMARA</v>
          </cell>
          <cell r="N304">
            <v>3000000</v>
          </cell>
        </row>
        <row r="305">
          <cell r="F305" t="str">
            <v>COMPUTADORAS</v>
          </cell>
          <cell r="N305">
            <v>1000000</v>
          </cell>
        </row>
        <row r="306">
          <cell r="F306" t="str">
            <v>IMPRESORAS</v>
          </cell>
          <cell r="N306">
            <v>500000</v>
          </cell>
        </row>
        <row r="307">
          <cell r="F307" t="str">
            <v>BANCADAS DE ACERO INOXIDABLE</v>
          </cell>
          <cell r="N307">
            <v>150000</v>
          </cell>
        </row>
        <row r="308">
          <cell r="F308" t="str">
            <v>HORNO INDUSTRIAL</v>
          </cell>
          <cell r="N308">
            <v>600000</v>
          </cell>
        </row>
        <row r="309">
          <cell r="F309" t="str">
            <v>ESTUFAS INDUSTRIALES</v>
          </cell>
          <cell r="N309">
            <v>600000</v>
          </cell>
        </row>
        <row r="310">
          <cell r="F310" t="str">
            <v>SWIT 24 A 48 PUERTO</v>
          </cell>
          <cell r="N310">
            <v>500000</v>
          </cell>
        </row>
        <row r="311">
          <cell r="F311" t="str">
            <v>SUB TOTAL</v>
          </cell>
          <cell r="I311">
            <v>54578957.25</v>
          </cell>
          <cell r="N311">
            <v>61338957.25</v>
          </cell>
        </row>
        <row r="313">
          <cell r="F313" t="str">
            <v>TOTAL GENERAL COMPRA DE ACTIVOS</v>
          </cell>
          <cell r="I313">
            <v>81138244.920000002</v>
          </cell>
          <cell r="N313">
            <v>87898244.920000002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V262"/>
  <sheetViews>
    <sheetView tabSelected="1" zoomScale="145" zoomScaleNormal="145" workbookViewId="0">
      <selection activeCell="O11" sqref="O11"/>
    </sheetView>
  </sheetViews>
  <sheetFormatPr baseColWidth="10" defaultColWidth="9.140625" defaultRowHeight="15.75" x14ac:dyDescent="0.3"/>
  <cols>
    <col min="1" max="1" width="2.28515625" style="1" customWidth="1"/>
    <col min="2" max="4" width="1.7109375" style="1" customWidth="1"/>
    <col min="5" max="5" width="3.140625" style="1" customWidth="1"/>
    <col min="6" max="6" width="29.85546875" style="1" customWidth="1"/>
    <col min="7" max="7" width="10.7109375" style="1" hidden="1" customWidth="1"/>
    <col min="8" max="8" width="18.7109375" style="1" hidden="1" customWidth="1"/>
    <col min="9" max="9" width="21.28515625" style="1" hidden="1" customWidth="1"/>
    <col min="10" max="10" width="14.42578125" style="1" customWidth="1"/>
    <col min="11" max="11" width="7.28515625" style="2" hidden="1" customWidth="1"/>
    <col min="12" max="12" width="12.85546875" style="2" customWidth="1"/>
    <col min="13" max="13" width="11.7109375" style="2" customWidth="1"/>
    <col min="14" max="14" width="12" style="2" customWidth="1"/>
    <col min="15" max="15" width="15.42578125" style="2" bestFit="1" customWidth="1"/>
    <col min="16" max="16" width="13.85546875" style="2" bestFit="1" customWidth="1"/>
    <col min="17" max="16384" width="9.140625" style="2"/>
  </cols>
  <sheetData>
    <row r="6" spans="1:256" ht="15.75" customHeight="1" x14ac:dyDescent="0.3">
      <c r="A6" s="123"/>
      <c r="B6" s="122"/>
      <c r="C6" s="122"/>
      <c r="D6" s="122"/>
      <c r="E6" s="122"/>
      <c r="F6" s="133" t="s">
        <v>0</v>
      </c>
      <c r="G6" s="133"/>
      <c r="H6" s="133"/>
      <c r="I6" s="133"/>
      <c r="J6" s="133"/>
      <c r="K6" s="133"/>
      <c r="L6" s="133"/>
      <c r="M6" s="133"/>
      <c r="N6" s="3"/>
    </row>
    <row r="7" spans="1:256" ht="15.75" customHeight="1" x14ac:dyDescent="0.3">
      <c r="A7" s="119"/>
      <c r="B7" s="121"/>
      <c r="C7" s="121"/>
      <c r="D7" s="121"/>
      <c r="E7" s="121"/>
      <c r="F7" s="134" t="s">
        <v>1</v>
      </c>
      <c r="G7" s="134"/>
      <c r="H7" s="134"/>
      <c r="I7" s="134"/>
      <c r="J7" s="134"/>
      <c r="K7" s="134"/>
      <c r="L7" s="134"/>
      <c r="M7" s="134"/>
      <c r="N7" s="4"/>
    </row>
    <row r="8" spans="1:256" ht="15.75" customHeight="1" x14ac:dyDescent="0.3">
      <c r="A8" s="119"/>
      <c r="B8" s="120"/>
      <c r="C8" s="120"/>
      <c r="D8" s="120"/>
      <c r="E8" s="120"/>
      <c r="F8" s="134" t="s">
        <v>2</v>
      </c>
      <c r="G8" s="134"/>
      <c r="H8" s="134"/>
      <c r="I8" s="134"/>
      <c r="J8" s="134"/>
      <c r="K8" s="134"/>
      <c r="L8" s="134"/>
      <c r="M8" s="134"/>
      <c r="N8" s="4"/>
    </row>
    <row r="9" spans="1:256" ht="15.75" customHeight="1" x14ac:dyDescent="0.3">
      <c r="A9" s="119"/>
      <c r="B9" s="118"/>
      <c r="C9" s="118"/>
      <c r="D9" s="118"/>
      <c r="E9" s="118"/>
      <c r="F9" s="134" t="s">
        <v>3</v>
      </c>
      <c r="G9" s="134"/>
      <c r="H9" s="134"/>
      <c r="I9" s="134"/>
      <c r="J9" s="134"/>
      <c r="K9" s="134"/>
      <c r="L9" s="134"/>
      <c r="M9" s="134"/>
      <c r="N9" s="4"/>
    </row>
    <row r="10" spans="1:256" ht="15.75" customHeight="1" x14ac:dyDescent="0.3">
      <c r="A10" s="119"/>
      <c r="B10" s="118"/>
      <c r="C10" s="118"/>
      <c r="D10" s="118"/>
      <c r="E10" s="118"/>
      <c r="F10" s="134" t="s">
        <v>4</v>
      </c>
      <c r="G10" s="134"/>
      <c r="H10" s="134"/>
      <c r="I10" s="134"/>
      <c r="J10" s="134"/>
      <c r="K10" s="134"/>
      <c r="L10" s="134"/>
      <c r="M10" s="134"/>
      <c r="N10" s="4"/>
    </row>
    <row r="11" spans="1:256" ht="15.75" customHeight="1" x14ac:dyDescent="0.2">
      <c r="A11" s="117"/>
      <c r="B11" s="116" t="s">
        <v>5</v>
      </c>
      <c r="C11" s="114"/>
      <c r="D11" s="114"/>
      <c r="E11" s="114"/>
      <c r="F11" s="114"/>
      <c r="G11" s="114"/>
      <c r="H11" s="114"/>
      <c r="I11" s="114"/>
      <c r="J11" s="114"/>
      <c r="K11" s="115"/>
      <c r="L11" s="114"/>
      <c r="M11" s="114"/>
      <c r="N11" s="113"/>
    </row>
    <row r="12" spans="1:256" ht="19.5" customHeight="1" x14ac:dyDescent="0.2">
      <c r="A12" s="5"/>
      <c r="B12" s="135" t="s">
        <v>6</v>
      </c>
      <c r="C12" s="135" t="s">
        <v>7</v>
      </c>
      <c r="D12" s="135" t="s">
        <v>8</v>
      </c>
      <c r="E12" s="136" t="s">
        <v>9</v>
      </c>
      <c r="F12" s="137" t="s">
        <v>10</v>
      </c>
      <c r="G12" s="128" t="s">
        <v>11</v>
      </c>
      <c r="H12" s="129" t="s">
        <v>12</v>
      </c>
      <c r="I12" s="130" t="s">
        <v>13</v>
      </c>
      <c r="J12" s="131" t="s">
        <v>14</v>
      </c>
      <c r="K12" s="126" t="s">
        <v>15</v>
      </c>
      <c r="L12" s="124" t="s">
        <v>16</v>
      </c>
      <c r="M12" s="124" t="s">
        <v>17</v>
      </c>
      <c r="N12" s="124" t="s">
        <v>18</v>
      </c>
    </row>
    <row r="13" spans="1:256" ht="44.25" customHeight="1" x14ac:dyDescent="0.2">
      <c r="A13" s="5"/>
      <c r="B13" s="135"/>
      <c r="C13" s="135"/>
      <c r="D13" s="135"/>
      <c r="E13" s="136"/>
      <c r="F13" s="138"/>
      <c r="G13" s="128"/>
      <c r="H13" s="129"/>
      <c r="I13" s="130"/>
      <c r="J13" s="132"/>
      <c r="K13" s="127"/>
      <c r="L13" s="125"/>
      <c r="M13" s="125"/>
      <c r="N13" s="125"/>
    </row>
    <row r="14" spans="1:256" ht="12.75" x14ac:dyDescent="0.2">
      <c r="A14" s="6">
        <v>2</v>
      </c>
      <c r="B14" s="7"/>
      <c r="C14" s="7"/>
      <c r="D14" s="7"/>
      <c r="E14" s="8"/>
      <c r="F14" s="9" t="s">
        <v>19</v>
      </c>
      <c r="G14" s="10">
        <f>+G15+G49+G118+G196+G201+G208+G260</f>
        <v>253719279.73714286</v>
      </c>
      <c r="H14" s="11">
        <f>+H15+H49+H118+H196+H201+H208+H260</f>
        <v>315755610.68000001</v>
      </c>
      <c r="I14" s="12">
        <f>+I15+I83+I215+I334+I392+I399+I492</f>
        <v>0</v>
      </c>
      <c r="J14" s="13">
        <f>SUM(G14:I14)</f>
        <v>569474890.41714287</v>
      </c>
      <c r="K14" s="14"/>
      <c r="L14" s="112">
        <f>+L15+L49+L118+L196+L201+L208+L260</f>
        <v>65766030.326071411</v>
      </c>
      <c r="M14" s="112">
        <f>+M15+M49+M118+M196+M201+M208+M260</f>
        <v>34501657.659999996</v>
      </c>
      <c r="N14" s="112">
        <f t="shared" ref="N14:N45" si="0">L14-M14</f>
        <v>31264372.666071415</v>
      </c>
      <c r="O14" s="91"/>
      <c r="P14" s="91"/>
    </row>
    <row r="15" spans="1:256" ht="12.75" x14ac:dyDescent="0.2">
      <c r="A15" s="15">
        <v>2</v>
      </c>
      <c r="B15" s="16">
        <v>1</v>
      </c>
      <c r="C15" s="17"/>
      <c r="D15" s="17"/>
      <c r="E15" s="18"/>
      <c r="F15" s="94" t="s">
        <v>20</v>
      </c>
      <c r="G15" s="19">
        <f>+G16+G28+G38+G41+G44</f>
        <v>253719279.73714286</v>
      </c>
      <c r="H15" s="20">
        <f>+H16+H28+H38+H41+H44</f>
        <v>22279931.382857144</v>
      </c>
      <c r="I15" s="21">
        <f>+I16+I43+I59+I66+I74</f>
        <v>0</v>
      </c>
      <c r="J15" s="22">
        <f>SUBTOTAL(9,G15:I15)</f>
        <v>275999211.12</v>
      </c>
      <c r="K15" s="14">
        <f>+K16+K43+K59+K66+K74</f>
        <v>111.68167482500274</v>
      </c>
      <c r="L15" s="93">
        <f>+L16+L28+L38+L41+L44</f>
        <v>46050551.50999999</v>
      </c>
      <c r="M15" s="93">
        <f>+M16+M28+M38+M41+M44</f>
        <v>20402246.329999998</v>
      </c>
      <c r="N15" s="93">
        <f t="shared" si="0"/>
        <v>25648305.179999992</v>
      </c>
      <c r="O15" s="91"/>
      <c r="P15" s="91"/>
    </row>
    <row r="16" spans="1:256" s="96" customFormat="1" ht="12.75" x14ac:dyDescent="0.2">
      <c r="A16" s="15">
        <v>2</v>
      </c>
      <c r="B16" s="23">
        <v>1</v>
      </c>
      <c r="C16" s="24">
        <v>1</v>
      </c>
      <c r="D16" s="24"/>
      <c r="E16" s="25"/>
      <c r="F16" s="102" t="s">
        <v>21</v>
      </c>
      <c r="G16" s="26">
        <f>+G17+G21</f>
        <v>222453538.68000001</v>
      </c>
      <c r="H16" s="27">
        <f>+H17+H21</f>
        <v>4117931.3828571429</v>
      </c>
      <c r="I16" s="28">
        <f>+I17+I24+I32+I34+I36+I41</f>
        <v>0</v>
      </c>
      <c r="J16" s="29">
        <f>+J17+J21</f>
        <v>226571470.06285715</v>
      </c>
      <c r="K16" s="30">
        <f>+K17+K24+K32+K34+K36+K41</f>
        <v>80.518634778708289</v>
      </c>
      <c r="L16" s="109">
        <f>+L17+L21</f>
        <v>37431573.088571422</v>
      </c>
      <c r="M16" s="97">
        <f>+M17+M21</f>
        <v>17748027.09</v>
      </c>
      <c r="N16" s="109">
        <f t="shared" si="0"/>
        <v>19683545.998571422</v>
      </c>
      <c r="O16" s="106"/>
      <c r="P16" s="11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96" customFormat="1" ht="12.75" x14ac:dyDescent="0.2">
      <c r="A17" s="15">
        <v>2</v>
      </c>
      <c r="B17" s="31">
        <v>1</v>
      </c>
      <c r="C17" s="31">
        <v>1</v>
      </c>
      <c r="D17" s="31">
        <v>1</v>
      </c>
      <c r="E17" s="31"/>
      <c r="F17" s="32" t="s">
        <v>22</v>
      </c>
      <c r="G17" s="26">
        <f>SUM(G18:G20)</f>
        <v>12910390.09714286</v>
      </c>
      <c r="H17" s="27">
        <f>SUM(H18:H20)</f>
        <v>0</v>
      </c>
      <c r="I17" s="28">
        <f>SUM(I18:I23)</f>
        <v>0</v>
      </c>
      <c r="J17" s="33">
        <f t="shared" ref="J17:J48" si="1">SUBTOTAL(9,G17:I17)</f>
        <v>12910390.09714286</v>
      </c>
      <c r="K17" s="30">
        <f>SUM(K18:K23)</f>
        <v>72.995744989577133</v>
      </c>
      <c r="L17" s="97">
        <f>SUM(L18:L20)</f>
        <v>1075865.8414285716</v>
      </c>
      <c r="M17" s="97">
        <f>SUM(M18:M20)</f>
        <v>1076365.78</v>
      </c>
      <c r="N17" s="109">
        <f t="shared" si="0"/>
        <v>-499.93857142841443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2.75" x14ac:dyDescent="0.2">
      <c r="A18" s="15">
        <v>2</v>
      </c>
      <c r="B18" s="34">
        <v>1</v>
      </c>
      <c r="C18" s="34">
        <v>1</v>
      </c>
      <c r="D18" s="34">
        <v>1</v>
      </c>
      <c r="E18" s="34">
        <v>0.1</v>
      </c>
      <c r="F18" s="35" t="s">
        <v>23</v>
      </c>
      <c r="G18" s="36">
        <f>+[1]PPNE6!N23</f>
        <v>12910390.09714286</v>
      </c>
      <c r="H18" s="37"/>
      <c r="I18" s="38"/>
      <c r="J18" s="39">
        <f t="shared" si="1"/>
        <v>12910390.09714286</v>
      </c>
      <c r="K18" s="40">
        <f t="shared" ref="K18:K23" si="2">IFERROR(J18/$J$14*100,"0.00")</f>
        <v>2.2670692447363119</v>
      </c>
      <c r="L18" s="95">
        <f>J18/12</f>
        <v>1075865.8414285716</v>
      </c>
      <c r="M18" s="110">
        <v>1076365.78</v>
      </c>
      <c r="N18" s="95">
        <f t="shared" si="0"/>
        <v>-499.93857142841443</v>
      </c>
    </row>
    <row r="19" spans="1:256" ht="12.75" x14ac:dyDescent="0.2">
      <c r="A19" s="15">
        <v>2</v>
      </c>
      <c r="B19" s="34">
        <v>1</v>
      </c>
      <c r="C19" s="34">
        <v>1</v>
      </c>
      <c r="D19" s="34">
        <v>1</v>
      </c>
      <c r="E19" s="34">
        <v>0.2</v>
      </c>
      <c r="F19" s="41" t="s">
        <v>24</v>
      </c>
      <c r="G19" s="36"/>
      <c r="H19" s="37"/>
      <c r="I19" s="38"/>
      <c r="J19" s="39">
        <f t="shared" si="1"/>
        <v>0</v>
      </c>
      <c r="K19" s="40">
        <f t="shared" si="2"/>
        <v>0</v>
      </c>
      <c r="L19" s="95"/>
      <c r="M19" s="95"/>
      <c r="N19" s="95">
        <f t="shared" si="0"/>
        <v>0</v>
      </c>
    </row>
    <row r="20" spans="1:256" ht="12.75" x14ac:dyDescent="0.2">
      <c r="A20" s="15">
        <v>2</v>
      </c>
      <c r="B20" s="34">
        <v>1</v>
      </c>
      <c r="C20" s="34">
        <v>1</v>
      </c>
      <c r="D20" s="34">
        <v>1</v>
      </c>
      <c r="E20" s="34">
        <v>0.5</v>
      </c>
      <c r="F20" s="42" t="s">
        <v>25</v>
      </c>
      <c r="G20" s="36"/>
      <c r="H20" s="37"/>
      <c r="I20" s="38"/>
      <c r="J20" s="39">
        <f t="shared" si="1"/>
        <v>0</v>
      </c>
      <c r="K20" s="40">
        <f t="shared" si="2"/>
        <v>0</v>
      </c>
      <c r="L20" s="95"/>
      <c r="M20" s="95"/>
      <c r="N20" s="95">
        <f t="shared" si="0"/>
        <v>0</v>
      </c>
    </row>
    <row r="21" spans="1:256" s="96" customFormat="1" ht="12.75" x14ac:dyDescent="0.2">
      <c r="A21" s="15">
        <v>2</v>
      </c>
      <c r="B21" s="31">
        <v>1</v>
      </c>
      <c r="C21" s="31">
        <v>1</v>
      </c>
      <c r="D21" s="31">
        <v>2</v>
      </c>
      <c r="E21" s="31"/>
      <c r="F21" s="32" t="s">
        <v>26</v>
      </c>
      <c r="G21" s="26">
        <f>SUM(G22:G27)</f>
        <v>209543148.58285713</v>
      </c>
      <c r="H21" s="27">
        <f>SUM(H22:H27)</f>
        <v>4117931.3828571429</v>
      </c>
      <c r="I21" s="28"/>
      <c r="J21" s="43">
        <f t="shared" si="1"/>
        <v>213661079.96571428</v>
      </c>
      <c r="K21" s="30">
        <f t="shared" si="2"/>
        <v>37.518964147691676</v>
      </c>
      <c r="L21" s="99">
        <f>SUM(L22:L27)</f>
        <v>36355707.247142851</v>
      </c>
      <c r="M21" s="99">
        <f>SUM(M22:M27)</f>
        <v>16671661.310000001</v>
      </c>
      <c r="N21" s="109">
        <f t="shared" si="0"/>
        <v>19684045.937142849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2.75" x14ac:dyDescent="0.2">
      <c r="A22" s="15">
        <v>2</v>
      </c>
      <c r="B22" s="34">
        <v>1</v>
      </c>
      <c r="C22" s="34">
        <v>1</v>
      </c>
      <c r="D22" s="34">
        <v>2</v>
      </c>
      <c r="E22" s="34">
        <v>0.1</v>
      </c>
      <c r="F22" s="44" t="s">
        <v>27</v>
      </c>
      <c r="G22" s="36">
        <f>+[1]PPNE6!N27</f>
        <v>189120968.72571427</v>
      </c>
      <c r="H22" s="37"/>
      <c r="I22" s="38"/>
      <c r="J22" s="39">
        <f t="shared" si="1"/>
        <v>189120968.72571427</v>
      </c>
      <c r="K22" s="40">
        <f t="shared" si="2"/>
        <v>33.209711597149145</v>
      </c>
      <c r="L22" s="95">
        <f>J22/12</f>
        <v>15760080.727142856</v>
      </c>
      <c r="M22" s="95">
        <v>16017818.470000001</v>
      </c>
      <c r="N22" s="95">
        <f t="shared" si="0"/>
        <v>-257737.74285714515</v>
      </c>
    </row>
    <row r="23" spans="1:256" ht="12.75" x14ac:dyDescent="0.2">
      <c r="A23" s="15">
        <v>2</v>
      </c>
      <c r="B23" s="34">
        <v>1</v>
      </c>
      <c r="C23" s="34">
        <v>1</v>
      </c>
      <c r="D23" s="34">
        <v>2</v>
      </c>
      <c r="E23" s="34">
        <v>0.2</v>
      </c>
      <c r="F23" s="44" t="s">
        <v>28</v>
      </c>
      <c r="G23" s="36"/>
      <c r="H23" s="37"/>
      <c r="I23" s="38"/>
      <c r="J23" s="39">
        <f t="shared" si="1"/>
        <v>0</v>
      </c>
      <c r="K23" s="40">
        <f t="shared" si="2"/>
        <v>0</v>
      </c>
      <c r="L23" s="95">
        <f>J23/12</f>
        <v>0</v>
      </c>
      <c r="M23" s="95"/>
      <c r="N23" s="95">
        <f t="shared" si="0"/>
        <v>0</v>
      </c>
    </row>
    <row r="24" spans="1:256" ht="12.75" x14ac:dyDescent="0.2">
      <c r="A24" s="15">
        <v>2</v>
      </c>
      <c r="B24" s="34">
        <v>1</v>
      </c>
      <c r="C24" s="34">
        <v>1</v>
      </c>
      <c r="D24" s="34">
        <v>2</v>
      </c>
      <c r="E24" s="34">
        <v>0.3</v>
      </c>
      <c r="F24" s="41" t="s">
        <v>29</v>
      </c>
      <c r="G24" s="36">
        <f>+[1]PPNE6!N29</f>
        <v>185142.85714285716</v>
      </c>
      <c r="H24" s="37"/>
      <c r="I24" s="45">
        <f>SUM(I25:I31)</f>
        <v>0</v>
      </c>
      <c r="J24" s="39">
        <f t="shared" si="1"/>
        <v>185142.85714285716</v>
      </c>
      <c r="K24" s="46">
        <f>SUM(K25:K31)</f>
        <v>4.3336359158486664</v>
      </c>
      <c r="L24" s="95">
        <f>J24/12</f>
        <v>15428.571428571429</v>
      </c>
      <c r="M24" s="95">
        <v>94860</v>
      </c>
      <c r="N24" s="95">
        <f t="shared" si="0"/>
        <v>-79431.428571428565</v>
      </c>
    </row>
    <row r="25" spans="1:256" ht="12.75" x14ac:dyDescent="0.2">
      <c r="A25" s="15">
        <v>2</v>
      </c>
      <c r="B25" s="34">
        <v>1</v>
      </c>
      <c r="C25" s="34">
        <v>1</v>
      </c>
      <c r="D25" s="34">
        <v>4</v>
      </c>
      <c r="E25" s="34">
        <v>0.1</v>
      </c>
      <c r="F25" s="41" t="s">
        <v>30</v>
      </c>
      <c r="G25" s="36">
        <f>+[1]PPNE6!N30</f>
        <v>20237037</v>
      </c>
      <c r="H25" s="37"/>
      <c r="I25" s="38"/>
      <c r="J25" s="39">
        <f t="shared" si="1"/>
        <v>20237037</v>
      </c>
      <c r="K25" s="40">
        <f t="shared" ref="K25:K31" si="3">IFERROR(J25/$J$14*100,"0.00")</f>
        <v>3.5536311329154966</v>
      </c>
      <c r="L25" s="95">
        <f>J25/1</f>
        <v>20237037</v>
      </c>
      <c r="M25" s="95">
        <v>22747.4</v>
      </c>
      <c r="N25" s="95">
        <f t="shared" si="0"/>
        <v>20214289.600000001</v>
      </c>
    </row>
    <row r="26" spans="1:256" ht="12.75" x14ac:dyDescent="0.2">
      <c r="A26" s="15">
        <v>2</v>
      </c>
      <c r="B26" s="34">
        <v>1</v>
      </c>
      <c r="C26" s="34">
        <v>1</v>
      </c>
      <c r="D26" s="34">
        <v>5</v>
      </c>
      <c r="E26" s="34">
        <v>0.3</v>
      </c>
      <c r="F26" s="44" t="s">
        <v>31</v>
      </c>
      <c r="G26" s="36"/>
      <c r="H26" s="37">
        <f>VLOOKUP(F26,[1]PPNE6!$F$22:$N$266,9,FALSE)</f>
        <v>4117931.3828571429</v>
      </c>
      <c r="I26" s="38"/>
      <c r="J26" s="39">
        <f t="shared" si="1"/>
        <v>4117931.3828571429</v>
      </c>
      <c r="K26" s="40">
        <f t="shared" si="3"/>
        <v>0.72311026388551392</v>
      </c>
      <c r="L26" s="95">
        <f>J26/12</f>
        <v>343160.9485714286</v>
      </c>
      <c r="M26" s="95">
        <v>467194.6</v>
      </c>
      <c r="N26" s="95">
        <f t="shared" si="0"/>
        <v>-124033.65142857138</v>
      </c>
    </row>
    <row r="27" spans="1:256" ht="12.75" x14ac:dyDescent="0.2">
      <c r="A27" s="15">
        <v>2</v>
      </c>
      <c r="B27" s="34">
        <v>1</v>
      </c>
      <c r="C27" s="34">
        <v>1</v>
      </c>
      <c r="D27" s="34">
        <v>6</v>
      </c>
      <c r="E27" s="34">
        <v>0.1</v>
      </c>
      <c r="F27" s="42" t="s">
        <v>32</v>
      </c>
      <c r="G27" s="36"/>
      <c r="H27" s="37">
        <f>VLOOKUP(F27,[1]PPNE6!$F$22:$N$266,9,FALSE)</f>
        <v>0</v>
      </c>
      <c r="I27" s="38"/>
      <c r="J27" s="39">
        <f t="shared" si="1"/>
        <v>0</v>
      </c>
      <c r="K27" s="40">
        <f t="shared" si="3"/>
        <v>0</v>
      </c>
      <c r="L27" s="95">
        <f>J27/12</f>
        <v>0</v>
      </c>
      <c r="M27" s="95">
        <v>69040.84</v>
      </c>
      <c r="N27" s="95">
        <f t="shared" si="0"/>
        <v>-69040.84</v>
      </c>
    </row>
    <row r="28" spans="1:256" s="96" customFormat="1" ht="12.75" x14ac:dyDescent="0.2">
      <c r="A28" s="15">
        <v>2</v>
      </c>
      <c r="B28" s="23">
        <v>1</v>
      </c>
      <c r="C28" s="24">
        <v>2</v>
      </c>
      <c r="D28" s="24"/>
      <c r="E28" s="25"/>
      <c r="F28" s="102" t="s">
        <v>33</v>
      </c>
      <c r="G28" s="26"/>
      <c r="H28" s="27">
        <f>VLOOKUP(F28,[1]PPNE6!$F$22:$N$266,9,FALSE)</f>
        <v>162000</v>
      </c>
      <c r="I28" s="28"/>
      <c r="J28" s="29">
        <f t="shared" si="1"/>
        <v>162000</v>
      </c>
      <c r="K28" s="30">
        <f t="shared" si="3"/>
        <v>2.8447259523828046E-2</v>
      </c>
      <c r="L28" s="99">
        <f>SUM(L29+L31+L36)</f>
        <v>13500</v>
      </c>
      <c r="M28" s="99">
        <f>SUM(M29+M31+M36)</f>
        <v>31050</v>
      </c>
      <c r="N28" s="109">
        <f t="shared" si="0"/>
        <v>-17550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96" customFormat="1" ht="12.75" x14ac:dyDescent="0.2">
      <c r="A29" s="15">
        <v>2</v>
      </c>
      <c r="B29" s="31">
        <v>1</v>
      </c>
      <c r="C29" s="31">
        <v>2</v>
      </c>
      <c r="D29" s="31">
        <v>1</v>
      </c>
      <c r="E29" s="31"/>
      <c r="F29" s="32" t="s">
        <v>34</v>
      </c>
      <c r="G29" s="26"/>
      <c r="H29" s="27">
        <f>VLOOKUP(F29,[1]PPNE6!$F$22:$N$266,9,FALSE)</f>
        <v>0</v>
      </c>
      <c r="I29" s="28"/>
      <c r="J29" s="33">
        <f t="shared" si="1"/>
        <v>0</v>
      </c>
      <c r="K29" s="30">
        <f t="shared" si="3"/>
        <v>0</v>
      </c>
      <c r="L29" s="97">
        <f>L30</f>
        <v>0</v>
      </c>
      <c r="M29" s="97">
        <f>M30</f>
        <v>0</v>
      </c>
      <c r="N29" s="97">
        <f t="shared" si="0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2.75" x14ac:dyDescent="0.2">
      <c r="A30" s="15">
        <v>2</v>
      </c>
      <c r="B30" s="34">
        <v>1</v>
      </c>
      <c r="C30" s="34">
        <v>2</v>
      </c>
      <c r="D30" s="34">
        <v>1</v>
      </c>
      <c r="E30" s="34">
        <v>0.1</v>
      </c>
      <c r="F30" s="41" t="s">
        <v>35</v>
      </c>
      <c r="G30" s="36"/>
      <c r="H30" s="37">
        <f>VLOOKUP(F30,[1]PPNE6!$F$22:$N$266,9,FALSE)</f>
        <v>0</v>
      </c>
      <c r="I30" s="38"/>
      <c r="J30" s="39">
        <f t="shared" si="1"/>
        <v>0</v>
      </c>
      <c r="K30" s="40">
        <f t="shared" si="3"/>
        <v>0</v>
      </c>
      <c r="L30" s="95">
        <f>J30/12</f>
        <v>0</v>
      </c>
      <c r="M30" s="95"/>
      <c r="N30" s="95">
        <f t="shared" si="0"/>
        <v>0</v>
      </c>
    </row>
    <row r="31" spans="1:256" s="96" customFormat="1" ht="12.75" x14ac:dyDescent="0.2">
      <c r="A31" s="15">
        <v>2</v>
      </c>
      <c r="B31" s="31">
        <v>1</v>
      </c>
      <c r="C31" s="31">
        <v>2</v>
      </c>
      <c r="D31" s="31">
        <v>2</v>
      </c>
      <c r="E31" s="31"/>
      <c r="F31" s="32" t="s">
        <v>36</v>
      </c>
      <c r="G31" s="26"/>
      <c r="H31" s="27">
        <f>VLOOKUP(F31,[1]PPNE6!$F$22:$N$266,9,FALSE)</f>
        <v>162000</v>
      </c>
      <c r="I31" s="28"/>
      <c r="J31" s="43">
        <f t="shared" si="1"/>
        <v>162000</v>
      </c>
      <c r="K31" s="30">
        <f t="shared" si="3"/>
        <v>2.8447259523828046E-2</v>
      </c>
      <c r="L31" s="99">
        <f>SUM(L32:L35)</f>
        <v>13500</v>
      </c>
      <c r="M31" s="99">
        <f>SUM(M32:M35)</f>
        <v>31050</v>
      </c>
      <c r="N31" s="99">
        <f t="shared" si="0"/>
        <v>-17550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2.75" x14ac:dyDescent="0.2">
      <c r="A32" s="15">
        <v>2</v>
      </c>
      <c r="B32" s="34">
        <v>1</v>
      </c>
      <c r="C32" s="34">
        <v>2</v>
      </c>
      <c r="D32" s="34">
        <v>2</v>
      </c>
      <c r="E32" s="34">
        <v>0.1</v>
      </c>
      <c r="F32" s="41" t="s">
        <v>37</v>
      </c>
      <c r="G32" s="47">
        <f>G33</f>
        <v>0</v>
      </c>
      <c r="H32" s="37">
        <f>VLOOKUP(F32,[1]PPNE6!$F$22:$N$266,9,FALSE)</f>
        <v>0</v>
      </c>
      <c r="I32" s="45">
        <f>I33</f>
        <v>0</v>
      </c>
      <c r="J32" s="39">
        <f t="shared" si="1"/>
        <v>0</v>
      </c>
      <c r="K32" s="46">
        <f>K33</f>
        <v>0</v>
      </c>
      <c r="L32" s="95">
        <f>J32/12</f>
        <v>0</v>
      </c>
      <c r="M32" s="95"/>
      <c r="N32" s="95">
        <f t="shared" si="0"/>
        <v>0</v>
      </c>
    </row>
    <row r="33" spans="1:256" ht="12.75" x14ac:dyDescent="0.2">
      <c r="A33" s="15">
        <v>2</v>
      </c>
      <c r="B33" s="34">
        <v>1</v>
      </c>
      <c r="C33" s="34">
        <v>2</v>
      </c>
      <c r="D33" s="34">
        <v>2</v>
      </c>
      <c r="E33" s="34">
        <v>0.2</v>
      </c>
      <c r="F33" s="41" t="s">
        <v>38</v>
      </c>
      <c r="G33" s="36"/>
      <c r="H33" s="37">
        <f>VLOOKUP(F33,[1]PPNE6!$F$22:$N$266,9,FALSE)</f>
        <v>0</v>
      </c>
      <c r="I33" s="38"/>
      <c r="J33" s="39">
        <f t="shared" si="1"/>
        <v>0</v>
      </c>
      <c r="K33" s="40">
        <f>IFERROR(J33/$J$14*100,"0.00")</f>
        <v>0</v>
      </c>
      <c r="L33" s="95">
        <f>J33/12</f>
        <v>0</v>
      </c>
      <c r="M33" s="95"/>
      <c r="N33" s="95">
        <f t="shared" si="0"/>
        <v>0</v>
      </c>
    </row>
    <row r="34" spans="1:256" ht="12.75" x14ac:dyDescent="0.2">
      <c r="A34" s="15">
        <v>2</v>
      </c>
      <c r="B34" s="34">
        <v>1</v>
      </c>
      <c r="C34" s="34">
        <v>2</v>
      </c>
      <c r="D34" s="34">
        <v>2</v>
      </c>
      <c r="E34" s="34">
        <v>0.4</v>
      </c>
      <c r="F34" s="41" t="s">
        <v>39</v>
      </c>
      <c r="G34" s="47">
        <f>G35</f>
        <v>0</v>
      </c>
      <c r="H34" s="37">
        <f>VLOOKUP(F34,[1]PPNE6!$F$22:$N$266,9,FALSE)</f>
        <v>0</v>
      </c>
      <c r="I34" s="45">
        <f>I35</f>
        <v>0</v>
      </c>
      <c r="J34" s="39">
        <f t="shared" si="1"/>
        <v>0</v>
      </c>
      <c r="K34" s="46">
        <f>K35</f>
        <v>2.8447259523828046E-2</v>
      </c>
      <c r="L34" s="95">
        <f>J34/12</f>
        <v>0</v>
      </c>
      <c r="M34" s="95"/>
      <c r="N34" s="95">
        <f t="shared" si="0"/>
        <v>0</v>
      </c>
    </row>
    <row r="35" spans="1:256" ht="12.75" x14ac:dyDescent="0.2">
      <c r="A35" s="15">
        <v>2</v>
      </c>
      <c r="B35" s="34">
        <v>1</v>
      </c>
      <c r="C35" s="34">
        <v>2</v>
      </c>
      <c r="D35" s="34">
        <v>2</v>
      </c>
      <c r="E35" s="34">
        <v>0.5</v>
      </c>
      <c r="F35" s="41" t="s">
        <v>40</v>
      </c>
      <c r="G35" s="36"/>
      <c r="H35" s="37">
        <f>VLOOKUP(F35,[1]PPNE6!$F$22:$N$266,9,FALSE)</f>
        <v>162000</v>
      </c>
      <c r="I35" s="38"/>
      <c r="J35" s="39">
        <f t="shared" si="1"/>
        <v>162000</v>
      </c>
      <c r="K35" s="40">
        <f>IFERROR(J35/$J$14*100,"0.00")</f>
        <v>2.8447259523828046E-2</v>
      </c>
      <c r="L35" s="95">
        <f>J35/12</f>
        <v>13500</v>
      </c>
      <c r="M35" s="95">
        <v>31050</v>
      </c>
      <c r="N35" s="95">
        <f t="shared" si="0"/>
        <v>-17550</v>
      </c>
    </row>
    <row r="36" spans="1:256" s="96" customFormat="1" ht="12.75" x14ac:dyDescent="0.2">
      <c r="A36" s="15">
        <v>2</v>
      </c>
      <c r="B36" s="31">
        <v>1</v>
      </c>
      <c r="C36" s="31">
        <v>2</v>
      </c>
      <c r="D36" s="31">
        <v>3</v>
      </c>
      <c r="E36" s="31"/>
      <c r="F36" s="32" t="s">
        <v>41</v>
      </c>
      <c r="G36" s="26">
        <f>SUM(G37:G40)</f>
        <v>0</v>
      </c>
      <c r="H36" s="48">
        <f>VLOOKUP(F36,[1]PPNE6!$F$22:$N$266,9,FALSE)</f>
        <v>0</v>
      </c>
      <c r="I36" s="28">
        <f>SUM(I37:I40)</f>
        <v>0</v>
      </c>
      <c r="J36" s="33">
        <f t="shared" si="1"/>
        <v>0</v>
      </c>
      <c r="K36" s="30">
        <f>SUM(K37:K40)</f>
        <v>0</v>
      </c>
      <c r="L36" s="97">
        <f>L37</f>
        <v>0</v>
      </c>
      <c r="M36" s="97">
        <f>M37</f>
        <v>0</v>
      </c>
      <c r="N36" s="97">
        <f t="shared" si="0"/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2.75" x14ac:dyDescent="0.2">
      <c r="A37" s="15">
        <v>2</v>
      </c>
      <c r="B37" s="34">
        <v>1</v>
      </c>
      <c r="C37" s="34">
        <v>2</v>
      </c>
      <c r="D37" s="34">
        <v>3</v>
      </c>
      <c r="E37" s="34">
        <v>0.1</v>
      </c>
      <c r="F37" s="49" t="s">
        <v>41</v>
      </c>
      <c r="G37" s="36"/>
      <c r="H37" s="37">
        <f>VLOOKUP(F37,[1]PPNE6!$F$22:$N$266,9,FALSE)</f>
        <v>0</v>
      </c>
      <c r="I37" s="38"/>
      <c r="J37" s="39">
        <f t="shared" si="1"/>
        <v>0</v>
      </c>
      <c r="K37" s="40">
        <f>IFERROR(J37/$J$14*100,"0.00")</f>
        <v>0</v>
      </c>
      <c r="L37" s="95">
        <f>J37/12</f>
        <v>0</v>
      </c>
      <c r="M37" s="95"/>
      <c r="N37" s="95">
        <f t="shared" si="0"/>
        <v>0</v>
      </c>
    </row>
    <row r="38" spans="1:256" s="96" customFormat="1" ht="12.75" x14ac:dyDescent="0.2">
      <c r="A38" s="15">
        <v>2</v>
      </c>
      <c r="B38" s="31">
        <v>1</v>
      </c>
      <c r="C38" s="31">
        <v>3</v>
      </c>
      <c r="D38" s="31"/>
      <c r="E38" s="31"/>
      <c r="F38" s="50" t="s">
        <v>42</v>
      </c>
      <c r="G38" s="51"/>
      <c r="H38" s="48">
        <f>VLOOKUP(F38,[1]PPNE6!$F$22:$N$266,9,FALSE)</f>
        <v>0</v>
      </c>
      <c r="I38" s="52"/>
      <c r="J38" s="33">
        <f t="shared" si="1"/>
        <v>0</v>
      </c>
      <c r="K38" s="53">
        <f>IFERROR(J38/$J$14*100,"0.00")</f>
        <v>0</v>
      </c>
      <c r="L38" s="97">
        <f>L39</f>
        <v>0</v>
      </c>
      <c r="M38" s="97">
        <f>M39</f>
        <v>0</v>
      </c>
      <c r="N38" s="97">
        <f t="shared" si="0"/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96" customFormat="1" ht="12.75" x14ac:dyDescent="0.2">
      <c r="A39" s="15">
        <v>2</v>
      </c>
      <c r="B39" s="31">
        <v>1</v>
      </c>
      <c r="C39" s="31">
        <v>3</v>
      </c>
      <c r="D39" s="31">
        <v>1</v>
      </c>
      <c r="E39" s="31"/>
      <c r="F39" s="32" t="s">
        <v>43</v>
      </c>
      <c r="G39" s="51"/>
      <c r="H39" s="48">
        <f>VLOOKUP(F39,[1]PPNE6!$F$22:$N$266,9,FALSE)</f>
        <v>0</v>
      </c>
      <c r="I39" s="52"/>
      <c r="J39" s="33">
        <f t="shared" si="1"/>
        <v>0</v>
      </c>
      <c r="K39" s="53">
        <f>IFERROR(J39/$J$14*100,"0.00")</f>
        <v>0</v>
      </c>
      <c r="L39" s="97">
        <f>L40</f>
        <v>0</v>
      </c>
      <c r="M39" s="97">
        <f>M40</f>
        <v>0</v>
      </c>
      <c r="N39" s="97">
        <f t="shared" si="0"/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2.75" x14ac:dyDescent="0.2">
      <c r="A40" s="15">
        <v>2</v>
      </c>
      <c r="B40" s="34">
        <v>1</v>
      </c>
      <c r="C40" s="34">
        <v>3</v>
      </c>
      <c r="D40" s="34">
        <v>1</v>
      </c>
      <c r="E40" s="34">
        <v>0.1</v>
      </c>
      <c r="F40" s="35" t="s">
        <v>44</v>
      </c>
      <c r="G40" s="36"/>
      <c r="H40" s="37">
        <f>VLOOKUP(F40,[1]PPNE6!$F$22:$N$266,9,FALSE)</f>
        <v>0</v>
      </c>
      <c r="I40" s="38"/>
      <c r="J40" s="39">
        <f t="shared" si="1"/>
        <v>0</v>
      </c>
      <c r="K40" s="40">
        <f>IFERROR(J40/$J$14*100,"0.00")</f>
        <v>0</v>
      </c>
      <c r="L40" s="95"/>
      <c r="M40" s="95"/>
      <c r="N40" s="95">
        <f t="shared" si="0"/>
        <v>0</v>
      </c>
    </row>
    <row r="41" spans="1:256" s="96" customFormat="1" ht="12.75" x14ac:dyDescent="0.2">
      <c r="A41" s="15">
        <v>2</v>
      </c>
      <c r="B41" s="31">
        <v>1</v>
      </c>
      <c r="C41" s="31">
        <v>4</v>
      </c>
      <c r="D41" s="31"/>
      <c r="E41" s="31"/>
      <c r="F41" s="32" t="s">
        <v>45</v>
      </c>
      <c r="G41" s="26">
        <f>G42</f>
        <v>0</v>
      </c>
      <c r="H41" s="54">
        <f>VLOOKUP(F41,[1]PPNE6!$F$22:$N$266,9,FALSE)</f>
        <v>18000000</v>
      </c>
      <c r="I41" s="28">
        <f>I42</f>
        <v>0</v>
      </c>
      <c r="J41" s="33">
        <f t="shared" si="1"/>
        <v>18000000</v>
      </c>
      <c r="K41" s="30">
        <f>K42</f>
        <v>3.1608066137586719</v>
      </c>
      <c r="L41" s="97">
        <f>L42</f>
        <v>6000000</v>
      </c>
      <c r="M41" s="97">
        <f>M42</f>
        <v>0</v>
      </c>
      <c r="N41" s="97">
        <f t="shared" si="0"/>
        <v>6000000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96" customFormat="1" ht="12.75" x14ac:dyDescent="0.2">
      <c r="A42" s="15">
        <v>2</v>
      </c>
      <c r="B42" s="31">
        <v>1</v>
      </c>
      <c r="C42" s="31">
        <v>4</v>
      </c>
      <c r="D42" s="31">
        <v>1</v>
      </c>
      <c r="E42" s="31"/>
      <c r="F42" s="32" t="s">
        <v>46</v>
      </c>
      <c r="G42" s="51"/>
      <c r="H42" s="48">
        <f>VLOOKUP(F42,[1]PPNE6!$F$22:$N$266,9,FALSE)</f>
        <v>18000000</v>
      </c>
      <c r="I42" s="52"/>
      <c r="J42" s="33">
        <f t="shared" si="1"/>
        <v>18000000</v>
      </c>
      <c r="K42" s="53">
        <f>IFERROR(J42/$J$14*100,"0.00")</f>
        <v>3.1608066137586719</v>
      </c>
      <c r="L42" s="97">
        <f>L43</f>
        <v>6000000</v>
      </c>
      <c r="M42" s="97">
        <f>M43</f>
        <v>0</v>
      </c>
      <c r="N42" s="97">
        <f t="shared" si="0"/>
        <v>6000000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2.75" x14ac:dyDescent="0.2">
      <c r="A43" s="15">
        <v>2</v>
      </c>
      <c r="B43" s="34">
        <v>1</v>
      </c>
      <c r="C43" s="34">
        <v>4</v>
      </c>
      <c r="D43" s="34">
        <v>1</v>
      </c>
      <c r="E43" s="34">
        <v>0.1</v>
      </c>
      <c r="F43" s="49" t="s">
        <v>46</v>
      </c>
      <c r="G43" s="36"/>
      <c r="H43" s="37">
        <f>VLOOKUP(F43,[1]PPNE6!$F$22:$N$266,9,FALSE)</f>
        <v>18000000</v>
      </c>
      <c r="I43" s="38">
        <f>+I44+I46+I57</f>
        <v>0</v>
      </c>
      <c r="J43" s="39">
        <f t="shared" si="1"/>
        <v>18000000</v>
      </c>
      <c r="K43" s="40">
        <f>+K44+K46+K57</f>
        <v>29.054988379397187</v>
      </c>
      <c r="L43" s="95">
        <f>J43/3</f>
        <v>6000000</v>
      </c>
      <c r="M43" s="95">
        <v>0</v>
      </c>
      <c r="N43" s="95">
        <f t="shared" si="0"/>
        <v>6000000</v>
      </c>
    </row>
    <row r="44" spans="1:256" s="96" customFormat="1" ht="12.75" x14ac:dyDescent="0.2">
      <c r="A44" s="15">
        <v>2</v>
      </c>
      <c r="B44" s="31">
        <v>1</v>
      </c>
      <c r="C44" s="31">
        <v>5</v>
      </c>
      <c r="D44" s="31"/>
      <c r="E44" s="31"/>
      <c r="F44" s="32" t="s">
        <v>47</v>
      </c>
      <c r="G44" s="51">
        <f>+[1]PPNE6!N49</f>
        <v>31265741.057142857</v>
      </c>
      <c r="H44" s="48"/>
      <c r="I44" s="28">
        <f>I45</f>
        <v>0</v>
      </c>
      <c r="J44" s="33">
        <f t="shared" si="1"/>
        <v>31265741.057142857</v>
      </c>
      <c r="K44" s="30">
        <f>K45</f>
        <v>10.980551235275909</v>
      </c>
      <c r="L44" s="97">
        <f>L45</f>
        <v>2605478.4214285715</v>
      </c>
      <c r="M44" s="97">
        <f>M45</f>
        <v>2623169.2400000002</v>
      </c>
      <c r="N44" s="97">
        <f t="shared" si="0"/>
        <v>-17690.818571428768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96" customFormat="1" ht="12.75" x14ac:dyDescent="0.2">
      <c r="A45" s="15">
        <v>2</v>
      </c>
      <c r="B45" s="31">
        <v>1</v>
      </c>
      <c r="C45" s="31">
        <v>5</v>
      </c>
      <c r="D45" s="31">
        <v>1</v>
      </c>
      <c r="E45" s="31"/>
      <c r="F45" s="32" t="s">
        <v>48</v>
      </c>
      <c r="G45" s="51">
        <f>SUM(G46:G48)</f>
        <v>31265741.057142857</v>
      </c>
      <c r="H45" s="48">
        <f>VLOOKUP(F45,[1]PPNE6!$F$22:$N$266,9,FALSE)</f>
        <v>31265741.057142857</v>
      </c>
      <c r="I45" s="52"/>
      <c r="J45" s="33">
        <f t="shared" si="1"/>
        <v>62531482.114285715</v>
      </c>
      <c r="K45" s="53">
        <f>IFERROR(J45/$J$14*100,"0.00")</f>
        <v>10.980551235275909</v>
      </c>
      <c r="L45" s="108">
        <f>SUM(L46:L48)</f>
        <v>2605478.4214285715</v>
      </c>
      <c r="M45" s="97">
        <f>SUM(M46:M48)</f>
        <v>2623169.2400000002</v>
      </c>
      <c r="N45" s="97">
        <f t="shared" si="0"/>
        <v>-17690.818571428768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2.75" x14ac:dyDescent="0.2">
      <c r="A46" s="15">
        <v>2</v>
      </c>
      <c r="B46" s="34">
        <v>1</v>
      </c>
      <c r="C46" s="34">
        <v>5</v>
      </c>
      <c r="D46" s="34">
        <v>1</v>
      </c>
      <c r="E46" s="34">
        <v>0.1</v>
      </c>
      <c r="F46" s="35" t="s">
        <v>49</v>
      </c>
      <c r="G46" s="36">
        <f>+[1]PPNE6!N51</f>
        <v>14498083.714285716</v>
      </c>
      <c r="H46" s="37"/>
      <c r="I46" s="45">
        <f>SUM(I47:I56)</f>
        <v>0</v>
      </c>
      <c r="J46" s="39">
        <f t="shared" si="1"/>
        <v>14498083.714285716</v>
      </c>
      <c r="K46" s="46">
        <f>SUM(K47:K56)</f>
        <v>18.074437144121276</v>
      </c>
      <c r="L46" s="95">
        <f>J46/12</f>
        <v>1208173.642857143</v>
      </c>
      <c r="M46" s="95">
        <v>1211978.6100000001</v>
      </c>
      <c r="N46" s="95">
        <f t="shared" ref="N46:N77" si="4">L46-M46</f>
        <v>-3804.9671428571455</v>
      </c>
    </row>
    <row r="47" spans="1:256" ht="12.75" x14ac:dyDescent="0.2">
      <c r="A47" s="15">
        <v>2</v>
      </c>
      <c r="B47" s="34">
        <v>1</v>
      </c>
      <c r="C47" s="34">
        <v>5</v>
      </c>
      <c r="D47" s="34">
        <v>2</v>
      </c>
      <c r="E47" s="34">
        <v>0.1</v>
      </c>
      <c r="F47" s="35" t="s">
        <v>50</v>
      </c>
      <c r="G47" s="36">
        <f>+[1]PPNE6!N52</f>
        <v>14503949.708571427</v>
      </c>
      <c r="H47" s="37"/>
      <c r="I47" s="38"/>
      <c r="J47" s="39">
        <f t="shared" si="1"/>
        <v>14503949.708571427</v>
      </c>
      <c r="K47" s="40">
        <f t="shared" ref="K47:K56" si="5">IFERROR(J47/$J$14*100,"0.00")</f>
        <v>2.5468988980264293</v>
      </c>
      <c r="L47" s="95">
        <f>J47/12</f>
        <v>1208662.4757142856</v>
      </c>
      <c r="M47" s="95">
        <v>1213687.1599999999</v>
      </c>
      <c r="N47" s="95">
        <f t="shared" si="4"/>
        <v>-5024.684285714291</v>
      </c>
    </row>
    <row r="48" spans="1:256" ht="12.75" x14ac:dyDescent="0.2">
      <c r="A48" s="15">
        <v>2</v>
      </c>
      <c r="B48" s="34">
        <v>1</v>
      </c>
      <c r="C48" s="34">
        <v>5</v>
      </c>
      <c r="D48" s="34">
        <v>3</v>
      </c>
      <c r="E48" s="34">
        <v>0.1</v>
      </c>
      <c r="F48" s="35" t="s">
        <v>51</v>
      </c>
      <c r="G48" s="36">
        <f>+[1]PPNE6!N53</f>
        <v>2263707.6342857145</v>
      </c>
      <c r="H48" s="37"/>
      <c r="I48" s="38"/>
      <c r="J48" s="39">
        <f t="shared" si="1"/>
        <v>2263707.6342857145</v>
      </c>
      <c r="K48" s="40">
        <f t="shared" si="5"/>
        <v>0.39750789233701572</v>
      </c>
      <c r="L48" s="95">
        <f>J48/12</f>
        <v>188642.30285714287</v>
      </c>
      <c r="M48" s="95">
        <v>197503.47</v>
      </c>
      <c r="N48" s="95">
        <f t="shared" si="4"/>
        <v>-8861.1671428571281</v>
      </c>
    </row>
    <row r="49" spans="1:256" ht="12.75" x14ac:dyDescent="0.2">
      <c r="A49" s="15">
        <v>2</v>
      </c>
      <c r="B49" s="16">
        <v>2</v>
      </c>
      <c r="C49" s="17"/>
      <c r="D49" s="17"/>
      <c r="E49" s="18"/>
      <c r="F49" s="94" t="s">
        <v>52</v>
      </c>
      <c r="G49" s="19"/>
      <c r="H49" s="20">
        <f>VLOOKUP(F49,[1]PPNE6!$F$22:$N$266,9,FALSE)</f>
        <v>75491190.731428564</v>
      </c>
      <c r="I49" s="21"/>
      <c r="J49" s="22">
        <f t="shared" ref="J49:J80" si="6">SUBTOTAL(9,G49:I49)</f>
        <v>75491190.731428564</v>
      </c>
      <c r="K49" s="14">
        <f t="shared" si="5"/>
        <v>13.256280830245373</v>
      </c>
      <c r="L49" s="93">
        <f>L50+L59+L63+L67+L73+L82+L89+L103</f>
        <v>6290932.5609523803</v>
      </c>
      <c r="M49" s="93">
        <f>M50+M59+M63+M67+M73+M82+M89+M103</f>
        <v>1879565.2799999998</v>
      </c>
      <c r="N49" s="93">
        <f t="shared" si="4"/>
        <v>4411367.280952381</v>
      </c>
      <c r="O49" s="106"/>
    </row>
    <row r="50" spans="1:256" s="96" customFormat="1" ht="12.75" x14ac:dyDescent="0.2">
      <c r="A50" s="15">
        <v>2</v>
      </c>
      <c r="B50" s="23">
        <v>2</v>
      </c>
      <c r="C50" s="24">
        <v>1</v>
      </c>
      <c r="D50" s="24"/>
      <c r="E50" s="25"/>
      <c r="F50" s="102" t="s">
        <v>53</v>
      </c>
      <c r="G50" s="26"/>
      <c r="H50" s="27">
        <f>VLOOKUP(F50,[1]PPNE6!$F$22:$N$266,9,FALSE)</f>
        <v>3556844.3485714286</v>
      </c>
      <c r="I50" s="28"/>
      <c r="J50" s="29">
        <f t="shared" si="6"/>
        <v>3556844.3485714286</v>
      </c>
      <c r="K50" s="30">
        <f t="shared" si="5"/>
        <v>0.62458317450415135</v>
      </c>
      <c r="L50" s="97">
        <f>L51</f>
        <v>296403.69571428571</v>
      </c>
      <c r="M50" s="97">
        <f>M51</f>
        <v>26748.26</v>
      </c>
      <c r="N50" s="97">
        <f t="shared" si="4"/>
        <v>269655.4357142857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s="96" customFormat="1" ht="12.75" x14ac:dyDescent="0.2">
      <c r="A51" s="15">
        <v>2</v>
      </c>
      <c r="B51" s="31">
        <v>2</v>
      </c>
      <c r="C51" s="31">
        <v>1</v>
      </c>
      <c r="D51" s="31">
        <v>1</v>
      </c>
      <c r="E51" s="31"/>
      <c r="F51" s="32" t="s">
        <v>54</v>
      </c>
      <c r="G51" s="51"/>
      <c r="H51" s="48">
        <f>VLOOKUP(F51,[1]PPNE6!$F$22:$N$266,9,FALSE)</f>
        <v>3556844.348571429</v>
      </c>
      <c r="I51" s="52"/>
      <c r="J51" s="33">
        <f t="shared" si="6"/>
        <v>3556844.348571429</v>
      </c>
      <c r="K51" s="53">
        <f t="shared" si="5"/>
        <v>0.62458317450415146</v>
      </c>
      <c r="L51" s="97">
        <f>L52+L53+L54+L55+L56+L57+L58</f>
        <v>296403.69571428571</v>
      </c>
      <c r="M51" s="97">
        <f>M52+M53+M54+M55+M56+M57+M58</f>
        <v>26748.26</v>
      </c>
      <c r="N51" s="97">
        <f t="shared" si="4"/>
        <v>269655.4357142857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12.75" x14ac:dyDescent="0.2">
      <c r="A52" s="15">
        <v>2</v>
      </c>
      <c r="B52" s="34">
        <v>2</v>
      </c>
      <c r="C52" s="34">
        <v>1</v>
      </c>
      <c r="D52" s="34">
        <v>2</v>
      </c>
      <c r="E52" s="34">
        <v>0.1</v>
      </c>
      <c r="F52" s="35" t="s">
        <v>55</v>
      </c>
      <c r="G52" s="36"/>
      <c r="H52" s="37">
        <f>VLOOKUP(F52,[1]PPNE6!$F$22:$N$266,9,FALSE)</f>
        <v>2508332.2285714289</v>
      </c>
      <c r="I52" s="38"/>
      <c r="J52" s="39">
        <f t="shared" si="6"/>
        <v>2508332.2285714289</v>
      </c>
      <c r="K52" s="40">
        <f t="shared" si="5"/>
        <v>0.44046406097625562</v>
      </c>
      <c r="L52" s="95">
        <f t="shared" ref="L52:L58" si="7">J52/12</f>
        <v>209027.68571428573</v>
      </c>
      <c r="M52" s="95">
        <v>0</v>
      </c>
      <c r="N52" s="95">
        <f t="shared" si="4"/>
        <v>209027.68571428573</v>
      </c>
    </row>
    <row r="53" spans="1:256" ht="12.75" x14ac:dyDescent="0.2">
      <c r="A53" s="15">
        <v>2</v>
      </c>
      <c r="B53" s="34">
        <v>2</v>
      </c>
      <c r="C53" s="34">
        <v>1</v>
      </c>
      <c r="D53" s="34">
        <v>3</v>
      </c>
      <c r="E53" s="34">
        <v>0.1</v>
      </c>
      <c r="F53" s="35" t="s">
        <v>56</v>
      </c>
      <c r="G53" s="36"/>
      <c r="H53" s="37">
        <f>VLOOKUP(F53,[1]PPNE6!$F$22:$N$266,9,FALSE)</f>
        <v>0</v>
      </c>
      <c r="I53" s="38"/>
      <c r="J53" s="39">
        <f t="shared" si="6"/>
        <v>0</v>
      </c>
      <c r="K53" s="40">
        <f t="shared" si="5"/>
        <v>0</v>
      </c>
      <c r="L53" s="95">
        <f t="shared" si="7"/>
        <v>0</v>
      </c>
      <c r="M53" s="95"/>
      <c r="N53" s="95">
        <f t="shared" si="4"/>
        <v>0</v>
      </c>
    </row>
    <row r="54" spans="1:256" ht="12.75" x14ac:dyDescent="0.2">
      <c r="A54" s="15">
        <v>2</v>
      </c>
      <c r="B54" s="34">
        <v>2</v>
      </c>
      <c r="C54" s="34">
        <v>1</v>
      </c>
      <c r="D54" s="34">
        <v>4</v>
      </c>
      <c r="E54" s="34">
        <v>0.1</v>
      </c>
      <c r="F54" s="35" t="s">
        <v>57</v>
      </c>
      <c r="G54" s="36"/>
      <c r="H54" s="37">
        <f>VLOOKUP(F54,[1]PPNE6!$F$22:$N$266,9,FALSE)</f>
        <v>0</v>
      </c>
      <c r="I54" s="38"/>
      <c r="J54" s="39">
        <f t="shared" si="6"/>
        <v>0</v>
      </c>
      <c r="K54" s="40">
        <f t="shared" si="5"/>
        <v>0</v>
      </c>
      <c r="L54" s="95">
        <f t="shared" si="7"/>
        <v>0</v>
      </c>
      <c r="M54" s="95"/>
      <c r="N54" s="95">
        <f t="shared" si="4"/>
        <v>0</v>
      </c>
    </row>
    <row r="55" spans="1:256" ht="12.75" x14ac:dyDescent="0.2">
      <c r="A55" s="15">
        <v>2</v>
      </c>
      <c r="B55" s="34">
        <v>2</v>
      </c>
      <c r="C55" s="34">
        <v>1</v>
      </c>
      <c r="D55" s="34">
        <v>5</v>
      </c>
      <c r="E55" s="34">
        <v>0.1</v>
      </c>
      <c r="F55" s="35" t="s">
        <v>58</v>
      </c>
      <c r="G55" s="36"/>
      <c r="H55" s="37">
        <f>VLOOKUP(F55,[1]PPNE6!$F$22:$N$266,9,FALSE)</f>
        <v>1048512.1200000001</v>
      </c>
      <c r="I55" s="38"/>
      <c r="J55" s="39">
        <f t="shared" si="6"/>
        <v>1048512.1200000001</v>
      </c>
      <c r="K55" s="40">
        <f t="shared" si="5"/>
        <v>0.18411911352789592</v>
      </c>
      <c r="L55" s="95">
        <f t="shared" si="7"/>
        <v>87376.010000000009</v>
      </c>
      <c r="M55" s="95">
        <v>26748.26</v>
      </c>
      <c r="N55" s="95">
        <f t="shared" si="4"/>
        <v>60627.750000000015</v>
      </c>
    </row>
    <row r="56" spans="1:256" ht="12.75" x14ac:dyDescent="0.2">
      <c r="A56" s="15">
        <v>2</v>
      </c>
      <c r="B56" s="34">
        <v>2</v>
      </c>
      <c r="C56" s="34">
        <v>1</v>
      </c>
      <c r="D56" s="34">
        <v>6</v>
      </c>
      <c r="E56" s="34">
        <v>0.1</v>
      </c>
      <c r="F56" s="35" t="s">
        <v>59</v>
      </c>
      <c r="G56" s="36"/>
      <c r="H56" s="37">
        <f>VLOOKUP(F56,[1]PPNE6!$F$22:$N$266,9,FALSE)</f>
        <v>0</v>
      </c>
      <c r="I56" s="38"/>
      <c r="J56" s="39">
        <f t="shared" si="6"/>
        <v>0</v>
      </c>
      <c r="K56" s="40">
        <f t="shared" si="5"/>
        <v>0</v>
      </c>
      <c r="L56" s="95">
        <f t="shared" si="7"/>
        <v>0</v>
      </c>
      <c r="M56" s="95"/>
      <c r="N56" s="95">
        <f t="shared" si="4"/>
        <v>0</v>
      </c>
    </row>
    <row r="57" spans="1:256" ht="12.75" x14ac:dyDescent="0.2">
      <c r="A57" s="15">
        <v>2</v>
      </c>
      <c r="B57" s="34">
        <v>2</v>
      </c>
      <c r="C57" s="34">
        <v>1</v>
      </c>
      <c r="D57" s="34">
        <v>7</v>
      </c>
      <c r="E57" s="34">
        <v>0.1</v>
      </c>
      <c r="F57" s="35" t="s">
        <v>60</v>
      </c>
      <c r="G57" s="47">
        <f>G58</f>
        <v>0</v>
      </c>
      <c r="H57" s="37">
        <f>VLOOKUP(F57,[1]PPNE6!$F$22:$N$266,9,FALSE)</f>
        <v>0</v>
      </c>
      <c r="I57" s="45">
        <f>I58</f>
        <v>0</v>
      </c>
      <c r="J57" s="39">
        <f t="shared" si="6"/>
        <v>0</v>
      </c>
      <c r="K57" s="46">
        <f>K58</f>
        <v>0</v>
      </c>
      <c r="L57" s="95">
        <f t="shared" si="7"/>
        <v>0</v>
      </c>
      <c r="M57" s="95"/>
      <c r="N57" s="95">
        <f t="shared" si="4"/>
        <v>0</v>
      </c>
    </row>
    <row r="58" spans="1:256" ht="12.75" x14ac:dyDescent="0.2">
      <c r="A58" s="15">
        <v>2</v>
      </c>
      <c r="B58" s="34">
        <v>2</v>
      </c>
      <c r="C58" s="34">
        <v>1</v>
      </c>
      <c r="D58" s="34">
        <v>8</v>
      </c>
      <c r="E58" s="34">
        <v>0.1</v>
      </c>
      <c r="F58" s="35" t="s">
        <v>61</v>
      </c>
      <c r="G58" s="36"/>
      <c r="H58" s="37">
        <f>VLOOKUP(F58,[1]PPNE6!$F$22:$N$266,9,FALSE)</f>
        <v>0</v>
      </c>
      <c r="I58" s="38"/>
      <c r="J58" s="39">
        <f t="shared" si="6"/>
        <v>0</v>
      </c>
      <c r="K58" s="40">
        <f>IFERROR(J58/$J$14*100,"0.00")</f>
        <v>0</v>
      </c>
      <c r="L58" s="95">
        <f t="shared" si="7"/>
        <v>0</v>
      </c>
      <c r="M58" s="95"/>
      <c r="N58" s="95">
        <f t="shared" si="4"/>
        <v>0</v>
      </c>
    </row>
    <row r="59" spans="1:256" s="96" customFormat="1" ht="12.75" x14ac:dyDescent="0.2">
      <c r="A59" s="15">
        <v>2</v>
      </c>
      <c r="B59" s="55">
        <v>2</v>
      </c>
      <c r="C59" s="56">
        <v>2</v>
      </c>
      <c r="D59" s="56"/>
      <c r="E59" s="56"/>
      <c r="F59" s="102" t="s">
        <v>62</v>
      </c>
      <c r="G59" s="26">
        <f>G60+G63</f>
        <v>0</v>
      </c>
      <c r="H59" s="48">
        <f>VLOOKUP(F59,[1]PPNE6!$F$22:$N$266,9,FALSE)</f>
        <v>1759539.6171428571</v>
      </c>
      <c r="I59" s="28">
        <f>I60+I63</f>
        <v>0</v>
      </c>
      <c r="J59" s="33">
        <f t="shared" si="6"/>
        <v>1759539.6171428571</v>
      </c>
      <c r="K59" s="30">
        <f>K60+K63</f>
        <v>0.37717396883661214</v>
      </c>
      <c r="L59" s="97">
        <f>L60+L62</f>
        <v>146628.30142857143</v>
      </c>
      <c r="M59" s="97">
        <f>M60+M62</f>
        <v>154647.45000000001</v>
      </c>
      <c r="N59" s="97">
        <f t="shared" si="4"/>
        <v>-8019.1485714285809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s="96" customFormat="1" ht="12.75" x14ac:dyDescent="0.2">
      <c r="A60" s="15">
        <v>2</v>
      </c>
      <c r="B60" s="31">
        <v>2</v>
      </c>
      <c r="C60" s="31">
        <v>2</v>
      </c>
      <c r="D60" s="31">
        <v>1</v>
      </c>
      <c r="E60" s="31"/>
      <c r="F60" s="32" t="s">
        <v>63</v>
      </c>
      <c r="G60" s="26">
        <f>SUM(G61:G62)</f>
        <v>0</v>
      </c>
      <c r="H60" s="48">
        <f>VLOOKUP(F60,[1]PPNE6!$F$22:$N$266,9,FALSE)</f>
        <v>1759539.6171428571</v>
      </c>
      <c r="I60" s="28">
        <f>SUM(I61:I62)</f>
        <v>0</v>
      </c>
      <c r="J60" s="33">
        <f t="shared" si="6"/>
        <v>1759539.6171428571</v>
      </c>
      <c r="K60" s="30">
        <f>SUM(K61:K62)</f>
        <v>0.30897580327975244</v>
      </c>
      <c r="L60" s="97">
        <f>L61</f>
        <v>143702.65857142856</v>
      </c>
      <c r="M60" s="97">
        <f>M61</f>
        <v>154647.45000000001</v>
      </c>
      <c r="N60" s="97">
        <f t="shared" si="4"/>
        <v>-10944.791428571451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2.75" x14ac:dyDescent="0.2">
      <c r="A61" s="15">
        <v>2</v>
      </c>
      <c r="B61" s="34">
        <v>2</v>
      </c>
      <c r="C61" s="34">
        <v>2</v>
      </c>
      <c r="D61" s="34">
        <v>1</v>
      </c>
      <c r="E61" s="34">
        <v>0.1</v>
      </c>
      <c r="F61" s="35" t="s">
        <v>64</v>
      </c>
      <c r="G61" s="36"/>
      <c r="H61" s="37">
        <f>VLOOKUP(F61,[1]PPNE6!$F$22:$N$266,9,FALSE)</f>
        <v>1724431.9028571427</v>
      </c>
      <c r="I61" s="38"/>
      <c r="J61" s="39">
        <f t="shared" si="6"/>
        <v>1724431.9028571427</v>
      </c>
      <c r="K61" s="40">
        <f>IFERROR(J61/$J$14*100,"0.00")</f>
        <v>0.30281087575151711</v>
      </c>
      <c r="L61" s="95">
        <f>J61/12</f>
        <v>143702.65857142856</v>
      </c>
      <c r="M61" s="95">
        <v>154647.45000000001</v>
      </c>
      <c r="N61" s="95">
        <f t="shared" si="4"/>
        <v>-10944.791428571451</v>
      </c>
    </row>
    <row r="62" spans="1:256" ht="12.75" x14ac:dyDescent="0.2">
      <c r="A62" s="15">
        <v>2</v>
      </c>
      <c r="B62" s="34">
        <v>2</v>
      </c>
      <c r="C62" s="34">
        <v>2</v>
      </c>
      <c r="D62" s="34">
        <v>2</v>
      </c>
      <c r="E62" s="34">
        <v>0.1</v>
      </c>
      <c r="F62" s="35" t="s">
        <v>65</v>
      </c>
      <c r="G62" s="36"/>
      <c r="H62" s="37">
        <f>VLOOKUP(F62,[1]PPNE6!$F$22:$N$266,9,FALSE)</f>
        <v>35107.71428571429</v>
      </c>
      <c r="I62" s="38"/>
      <c r="J62" s="39">
        <f t="shared" si="6"/>
        <v>35107.71428571429</v>
      </c>
      <c r="K62" s="40">
        <f>IFERROR(J62/$J$14*100,"0.00")</f>
        <v>6.1649275282353068E-3</v>
      </c>
      <c r="L62" s="95">
        <f>J62/12</f>
        <v>2925.6428571428573</v>
      </c>
      <c r="M62" s="95"/>
      <c r="N62" s="95">
        <f t="shared" si="4"/>
        <v>2925.6428571428573</v>
      </c>
    </row>
    <row r="63" spans="1:256" s="96" customFormat="1" ht="12.75" x14ac:dyDescent="0.2">
      <c r="A63" s="15">
        <v>2</v>
      </c>
      <c r="B63" s="31">
        <v>2</v>
      </c>
      <c r="C63" s="31">
        <v>3</v>
      </c>
      <c r="D63" s="31"/>
      <c r="E63" s="31"/>
      <c r="F63" s="32" t="s">
        <v>66</v>
      </c>
      <c r="G63" s="26">
        <f>SUM(G64:G65)</f>
        <v>0</v>
      </c>
      <c r="H63" s="48">
        <f>VLOOKUP(F63,[1]PPNE6!$F$22:$N$266,9,FALSE)</f>
        <v>988371.42857142864</v>
      </c>
      <c r="I63" s="28">
        <f>SUM(I64:I65)</f>
        <v>0</v>
      </c>
      <c r="J63" s="33">
        <f t="shared" si="6"/>
        <v>988371.42857142864</v>
      </c>
      <c r="K63" s="30">
        <f>SUM(K64:K65)</f>
        <v>6.819816555685973E-2</v>
      </c>
      <c r="L63" s="97">
        <f>L64+L66</f>
        <v>82364.28571428571</v>
      </c>
      <c r="M63" s="97">
        <f>M64+M66</f>
        <v>45500</v>
      </c>
      <c r="N63" s="97">
        <f t="shared" si="4"/>
        <v>36864.28571428571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2.75" x14ac:dyDescent="0.2">
      <c r="A64" s="15">
        <v>2</v>
      </c>
      <c r="B64" s="34">
        <v>2</v>
      </c>
      <c r="C64" s="34">
        <v>3</v>
      </c>
      <c r="D64" s="34">
        <v>1</v>
      </c>
      <c r="E64" s="34"/>
      <c r="F64" s="49" t="s">
        <v>67</v>
      </c>
      <c r="G64" s="36"/>
      <c r="H64" s="37">
        <f>VLOOKUP(F64,[1]PPNE6!$F$22:$N$266,9,FALSE)</f>
        <v>0</v>
      </c>
      <c r="I64" s="38"/>
      <c r="J64" s="39">
        <f t="shared" si="6"/>
        <v>0</v>
      </c>
      <c r="K64" s="40">
        <f>IFERROR(J64/$J$14*100,"0.00")</f>
        <v>0</v>
      </c>
      <c r="L64" s="95">
        <f>L65</f>
        <v>32364.285714285714</v>
      </c>
      <c r="M64" s="95">
        <f>M65</f>
        <v>45500</v>
      </c>
      <c r="N64" s="95">
        <f t="shared" si="4"/>
        <v>-13135.714285714286</v>
      </c>
    </row>
    <row r="65" spans="1:256" ht="12.75" x14ac:dyDescent="0.2">
      <c r="A65" s="15">
        <v>2</v>
      </c>
      <c r="B65" s="34">
        <v>2</v>
      </c>
      <c r="C65" s="34">
        <v>3</v>
      </c>
      <c r="D65" s="34">
        <v>1</v>
      </c>
      <c r="E65" s="34">
        <v>0.1</v>
      </c>
      <c r="F65" s="35" t="s">
        <v>68</v>
      </c>
      <c r="G65" s="36"/>
      <c r="H65" s="37">
        <f>VLOOKUP(F65,[1]PPNE6!$F$22:$N$266,9,FALSE)</f>
        <v>388371.42857142858</v>
      </c>
      <c r="I65" s="38"/>
      <c r="J65" s="39">
        <f t="shared" si="6"/>
        <v>388371.42857142858</v>
      </c>
      <c r="K65" s="40">
        <f>IFERROR(J65/$J$14*100,"0.00")</f>
        <v>6.819816555685973E-2</v>
      </c>
      <c r="L65" s="95">
        <f>J65/12</f>
        <v>32364.285714285714</v>
      </c>
      <c r="M65" s="95">
        <v>45500</v>
      </c>
      <c r="N65" s="95">
        <f t="shared" si="4"/>
        <v>-13135.714285714286</v>
      </c>
    </row>
    <row r="66" spans="1:256" ht="12.75" x14ac:dyDescent="0.2">
      <c r="A66" s="15">
        <v>2</v>
      </c>
      <c r="B66" s="34">
        <v>2</v>
      </c>
      <c r="C66" s="34">
        <v>3</v>
      </c>
      <c r="D66" s="34">
        <v>2</v>
      </c>
      <c r="E66" s="34">
        <v>0.1</v>
      </c>
      <c r="F66" s="49" t="s">
        <v>69</v>
      </c>
      <c r="G66" s="36">
        <f>G67+G69</f>
        <v>0</v>
      </c>
      <c r="H66" s="37">
        <f>VLOOKUP(F66,[1]PPNE6!$F$22:$N$266,9,FALSE)</f>
        <v>600000</v>
      </c>
      <c r="I66" s="38">
        <f>I67+I69</f>
        <v>0</v>
      </c>
      <c r="J66" s="39">
        <f t="shared" si="6"/>
        <v>600000</v>
      </c>
      <c r="K66" s="30">
        <f>K67+K69</f>
        <v>0.55501216828500799</v>
      </c>
      <c r="L66" s="95">
        <f>J66/12</f>
        <v>50000</v>
      </c>
      <c r="M66" s="95"/>
      <c r="N66" s="95">
        <f t="shared" si="4"/>
        <v>50000</v>
      </c>
    </row>
    <row r="67" spans="1:256" s="96" customFormat="1" ht="12.75" x14ac:dyDescent="0.2">
      <c r="A67" s="15">
        <v>2</v>
      </c>
      <c r="B67" s="31">
        <v>2</v>
      </c>
      <c r="C67" s="31">
        <v>4</v>
      </c>
      <c r="D67" s="31"/>
      <c r="E67" s="31"/>
      <c r="F67" s="32" t="s">
        <v>70</v>
      </c>
      <c r="G67" s="26">
        <f>G68</f>
        <v>0</v>
      </c>
      <c r="H67" s="48">
        <f>VLOOKUP(F67,[1]PPNE6!$F$22:$N$266,9,FALSE)</f>
        <v>142542.85714285716</v>
      </c>
      <c r="I67" s="28">
        <f>I68</f>
        <v>0</v>
      </c>
      <c r="J67" s="43">
        <f t="shared" si="6"/>
        <v>142542.85714285716</v>
      </c>
      <c r="K67" s="30">
        <f>K68</f>
        <v>2.503057808895557E-2</v>
      </c>
      <c r="L67" s="99">
        <f>L68+L70+L71+L72</f>
        <v>11878.571428571429</v>
      </c>
      <c r="M67" s="99">
        <f>M68+M70+M71+M72</f>
        <v>1840</v>
      </c>
      <c r="N67" s="99">
        <f t="shared" si="4"/>
        <v>10038.571428571429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96" customFormat="1" ht="12.75" x14ac:dyDescent="0.2">
      <c r="A68" s="15">
        <v>2</v>
      </c>
      <c r="B68" s="31">
        <v>2</v>
      </c>
      <c r="C68" s="31">
        <v>4</v>
      </c>
      <c r="D68" s="31">
        <v>1</v>
      </c>
      <c r="E68" s="31"/>
      <c r="F68" s="32" t="s">
        <v>71</v>
      </c>
      <c r="G68" s="26"/>
      <c r="H68" s="48">
        <f>VLOOKUP(F68,[1]PPNE6!$F$22:$N$266,9,FALSE)</f>
        <v>142542.8571428571</v>
      </c>
      <c r="I68" s="28"/>
      <c r="J68" s="33">
        <f t="shared" si="6"/>
        <v>142542.8571428571</v>
      </c>
      <c r="K68" s="30">
        <f>IFERROR(J68/$J$14*100,"0.00")</f>
        <v>2.503057808895557E-2</v>
      </c>
      <c r="L68" s="97">
        <f>L69</f>
        <v>35.714285714285715</v>
      </c>
      <c r="M68" s="97">
        <f>M69</f>
        <v>360</v>
      </c>
      <c r="N68" s="97">
        <f t="shared" si="4"/>
        <v>-324.28571428571428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12.75" x14ac:dyDescent="0.2">
      <c r="A69" s="15">
        <v>2</v>
      </c>
      <c r="B69" s="34">
        <v>2</v>
      </c>
      <c r="C69" s="34">
        <v>4</v>
      </c>
      <c r="D69" s="34">
        <v>1</v>
      </c>
      <c r="E69" s="34">
        <v>0.1</v>
      </c>
      <c r="F69" s="35" t="s">
        <v>72</v>
      </c>
      <c r="G69" s="47">
        <f>SUM(G70:G73)</f>
        <v>0</v>
      </c>
      <c r="H69" s="37">
        <f>VLOOKUP(F69,[1]PPNE6!$F$22:$N$266,9,FALSE)</f>
        <v>428.57142857142856</v>
      </c>
      <c r="I69" s="45">
        <f>SUM(I70:I73)</f>
        <v>0</v>
      </c>
      <c r="J69" s="39">
        <f t="shared" si="6"/>
        <v>428.57142857142856</v>
      </c>
      <c r="K69" s="46">
        <f>SUM(K70:K73)</f>
        <v>0.5299815901960524</v>
      </c>
      <c r="L69" s="95">
        <f>J69/12</f>
        <v>35.714285714285715</v>
      </c>
      <c r="M69" s="95">
        <v>360</v>
      </c>
      <c r="N69" s="95">
        <f t="shared" si="4"/>
        <v>-324.28571428571428</v>
      </c>
    </row>
    <row r="70" spans="1:256" ht="12.75" x14ac:dyDescent="0.2">
      <c r="A70" s="15">
        <v>2</v>
      </c>
      <c r="B70" s="34">
        <v>2</v>
      </c>
      <c r="C70" s="34">
        <v>4</v>
      </c>
      <c r="D70" s="34">
        <v>2</v>
      </c>
      <c r="E70" s="34">
        <v>0.1</v>
      </c>
      <c r="F70" s="49" t="s">
        <v>73</v>
      </c>
      <c r="G70" s="36"/>
      <c r="H70" s="37">
        <f>VLOOKUP(F70,[1]PPNE6!$F$22:$N$266,9,FALSE)</f>
        <v>138857.14285714284</v>
      </c>
      <c r="I70" s="38"/>
      <c r="J70" s="39">
        <f t="shared" si="6"/>
        <v>138857.14285714284</v>
      </c>
      <c r="K70" s="40">
        <f>IFERROR(J70/$J$14*100,"0.00")</f>
        <v>2.438336530613832E-2</v>
      </c>
      <c r="L70" s="95">
        <f>J70/12</f>
        <v>11571.428571428571</v>
      </c>
      <c r="M70" s="95"/>
      <c r="N70" s="95">
        <f t="shared" si="4"/>
        <v>11571.428571428571</v>
      </c>
    </row>
    <row r="71" spans="1:256" ht="12.75" x14ac:dyDescent="0.2">
      <c r="A71" s="15">
        <v>2</v>
      </c>
      <c r="B71" s="34">
        <v>2</v>
      </c>
      <c r="C71" s="34">
        <v>4</v>
      </c>
      <c r="D71" s="34">
        <v>3</v>
      </c>
      <c r="E71" s="34">
        <v>0.1</v>
      </c>
      <c r="F71" s="35" t="s">
        <v>74</v>
      </c>
      <c r="G71" s="36"/>
      <c r="H71" s="37">
        <f>VLOOKUP(F71,[1]PPNE6!$F$22:$N$266,9,FALSE)</f>
        <v>2914.2857142857142</v>
      </c>
      <c r="I71" s="38"/>
      <c r="J71" s="39">
        <f t="shared" si="6"/>
        <v>2914.2857142857142</v>
      </c>
      <c r="K71" s="40">
        <f>IFERROR(J71/$J$14*100,"0.00")</f>
        <v>5.1174964222759438E-4</v>
      </c>
      <c r="L71" s="95">
        <f>J71/12</f>
        <v>242.85714285714286</v>
      </c>
      <c r="M71" s="95">
        <v>1000</v>
      </c>
      <c r="N71" s="95">
        <f t="shared" si="4"/>
        <v>-757.14285714285711</v>
      </c>
    </row>
    <row r="72" spans="1:256" ht="12.75" x14ac:dyDescent="0.2">
      <c r="A72" s="15">
        <v>2</v>
      </c>
      <c r="B72" s="34">
        <v>2</v>
      </c>
      <c r="C72" s="34">
        <v>4</v>
      </c>
      <c r="D72" s="34">
        <v>4</v>
      </c>
      <c r="E72" s="34">
        <v>0.1</v>
      </c>
      <c r="F72" s="35" t="s">
        <v>75</v>
      </c>
      <c r="G72" s="36"/>
      <c r="H72" s="37">
        <f>VLOOKUP(F72,[1]PPNE6!$F$22:$N$266,9,FALSE)</f>
        <v>342.85714285714289</v>
      </c>
      <c r="I72" s="38"/>
      <c r="J72" s="39">
        <f t="shared" si="6"/>
        <v>342.85714285714289</v>
      </c>
      <c r="K72" s="40">
        <f>IFERROR(J72/$J$14*100,"0.00")</f>
        <v>6.0205840262069942E-5</v>
      </c>
      <c r="L72" s="95">
        <f>J72/12</f>
        <v>28.571428571428573</v>
      </c>
      <c r="M72" s="95">
        <v>480</v>
      </c>
      <c r="N72" s="95">
        <f t="shared" si="4"/>
        <v>-451.42857142857144</v>
      </c>
    </row>
    <row r="73" spans="1:256" s="96" customFormat="1" ht="12.75" x14ac:dyDescent="0.2">
      <c r="A73" s="15">
        <v>2</v>
      </c>
      <c r="B73" s="31">
        <v>2</v>
      </c>
      <c r="C73" s="31">
        <v>5</v>
      </c>
      <c r="D73" s="31"/>
      <c r="E73" s="31"/>
      <c r="F73" s="32" t="s">
        <v>76</v>
      </c>
      <c r="G73" s="26"/>
      <c r="H73" s="48">
        <f>VLOOKUP(F73,[1]PPNE6!$F$22:$N$266,9,FALSE)</f>
        <v>2875997.7942857146</v>
      </c>
      <c r="I73" s="28"/>
      <c r="J73" s="43">
        <f t="shared" si="6"/>
        <v>2875997.7942857146</v>
      </c>
      <c r="K73" s="30">
        <f>IFERROR(J73/$J$14*100,"0.00")</f>
        <v>0.50502626940742446</v>
      </c>
      <c r="L73" s="99">
        <f>L74+L76+L77+L78+L80+L81</f>
        <v>239666.48285714284</v>
      </c>
      <c r="M73" s="99">
        <f>M74+M76+M77+M78+M80+M81</f>
        <v>453578.19</v>
      </c>
      <c r="N73" s="99">
        <f t="shared" si="4"/>
        <v>-213911.70714285717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96" customFormat="1" ht="12.75" x14ac:dyDescent="0.2">
      <c r="A74" s="15">
        <v>2</v>
      </c>
      <c r="B74" s="31">
        <v>2</v>
      </c>
      <c r="C74" s="31">
        <v>5</v>
      </c>
      <c r="D74" s="31">
        <v>1</v>
      </c>
      <c r="E74" s="31"/>
      <c r="F74" s="32" t="s">
        <v>77</v>
      </c>
      <c r="G74" s="26">
        <f>G75+G77+G79+G81</f>
        <v>0</v>
      </c>
      <c r="H74" s="48">
        <f>VLOOKUP(F74,[1]PPNE6!$F$22:$N$266,9,FALSE)</f>
        <v>2875997.7942857146</v>
      </c>
      <c r="I74" s="28">
        <f>I75+I77+I79+I81</f>
        <v>0</v>
      </c>
      <c r="J74" s="33">
        <f t="shared" si="6"/>
        <v>2875997.7942857146</v>
      </c>
      <c r="K74" s="30">
        <f>K75+K77+K79+K81</f>
        <v>1.1758655297756533</v>
      </c>
      <c r="L74" s="97">
        <f>L75</f>
        <v>79658.251428571428</v>
      </c>
      <c r="M74" s="97">
        <f>M75</f>
        <v>192578.19</v>
      </c>
      <c r="N74" s="97">
        <f t="shared" si="4"/>
        <v>-112919.93857142857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ht="12.75" x14ac:dyDescent="0.2">
      <c r="A75" s="15">
        <v>2</v>
      </c>
      <c r="B75" s="34">
        <v>2</v>
      </c>
      <c r="C75" s="34">
        <v>5</v>
      </c>
      <c r="D75" s="34">
        <v>1</v>
      </c>
      <c r="E75" s="34">
        <v>0.1</v>
      </c>
      <c r="F75" s="35" t="s">
        <v>78</v>
      </c>
      <c r="G75" s="47">
        <f>G76</f>
        <v>0</v>
      </c>
      <c r="H75" s="37">
        <f>VLOOKUP(F75,[1]PPNE6!$F$22:$N$266,9,FALSE)</f>
        <v>955899.01714285719</v>
      </c>
      <c r="I75" s="45">
        <f>I76</f>
        <v>0</v>
      </c>
      <c r="J75" s="39">
        <f t="shared" si="6"/>
        <v>955899.01714285719</v>
      </c>
      <c r="K75" s="46">
        <f>K76</f>
        <v>0</v>
      </c>
      <c r="L75" s="95">
        <f t="shared" ref="L75:L81" si="8">J75/12</f>
        <v>79658.251428571428</v>
      </c>
      <c r="M75" s="95">
        <v>192578.19</v>
      </c>
      <c r="N75" s="95">
        <f t="shared" si="4"/>
        <v>-112919.93857142857</v>
      </c>
    </row>
    <row r="76" spans="1:256" ht="12.75" x14ac:dyDescent="0.2">
      <c r="A76" s="15">
        <v>2</v>
      </c>
      <c r="B76" s="34">
        <v>2</v>
      </c>
      <c r="C76" s="34">
        <v>5</v>
      </c>
      <c r="D76" s="34">
        <v>2</v>
      </c>
      <c r="E76" s="34">
        <v>0.1</v>
      </c>
      <c r="F76" s="35" t="s">
        <v>79</v>
      </c>
      <c r="G76" s="36"/>
      <c r="H76" s="37">
        <f>VLOOKUP(F76,[1]PPNE6!$F$22:$N$266,9,FALSE)</f>
        <v>0</v>
      </c>
      <c r="I76" s="38"/>
      <c r="J76" s="39">
        <f t="shared" si="6"/>
        <v>0</v>
      </c>
      <c r="K76" s="40">
        <f>IFERROR(J76/$J$14*100,"0.00")</f>
        <v>0</v>
      </c>
      <c r="L76" s="95">
        <f t="shared" si="8"/>
        <v>0</v>
      </c>
      <c r="M76" s="95"/>
      <c r="N76" s="95">
        <f t="shared" si="4"/>
        <v>0</v>
      </c>
    </row>
    <row r="77" spans="1:256" ht="12.75" x14ac:dyDescent="0.2">
      <c r="A77" s="15">
        <v>2</v>
      </c>
      <c r="B77" s="34">
        <v>2</v>
      </c>
      <c r="C77" s="34">
        <v>5</v>
      </c>
      <c r="D77" s="34">
        <v>3</v>
      </c>
      <c r="E77" s="34">
        <v>0.1</v>
      </c>
      <c r="F77" s="35" t="s">
        <v>80</v>
      </c>
      <c r="G77" s="47">
        <f>G78</f>
        <v>0</v>
      </c>
      <c r="H77" s="37">
        <f>VLOOKUP(F77,[1]PPNE6!$F$22:$N$266,9,FALSE)</f>
        <v>0</v>
      </c>
      <c r="I77" s="45">
        <f>I78</f>
        <v>0</v>
      </c>
      <c r="J77" s="39">
        <f t="shared" si="6"/>
        <v>0</v>
      </c>
      <c r="K77" s="46">
        <f>K78</f>
        <v>0</v>
      </c>
      <c r="L77" s="95">
        <f t="shared" si="8"/>
        <v>0</v>
      </c>
      <c r="M77" s="95"/>
      <c r="N77" s="95">
        <f t="shared" si="4"/>
        <v>0</v>
      </c>
    </row>
    <row r="78" spans="1:256" ht="12.75" x14ac:dyDescent="0.2">
      <c r="A78" s="15">
        <v>2</v>
      </c>
      <c r="B78" s="34">
        <v>2</v>
      </c>
      <c r="C78" s="34">
        <v>5</v>
      </c>
      <c r="D78" s="34">
        <v>3</v>
      </c>
      <c r="E78" s="34">
        <v>0.2</v>
      </c>
      <c r="F78" s="35" t="s">
        <v>81</v>
      </c>
      <c r="G78" s="36"/>
      <c r="H78" s="37">
        <f>VLOOKUP(F78,[1]PPNE6!$F$22:$N$266,9,FALSE)</f>
        <v>0</v>
      </c>
      <c r="I78" s="38"/>
      <c r="J78" s="39">
        <f t="shared" si="6"/>
        <v>0</v>
      </c>
      <c r="K78" s="40">
        <f>IFERROR(J78/$J$14*100,"0.00")</f>
        <v>0</v>
      </c>
      <c r="L78" s="95">
        <f t="shared" si="8"/>
        <v>0</v>
      </c>
      <c r="M78" s="95">
        <v>0</v>
      </c>
      <c r="N78" s="95">
        <f t="shared" ref="N78:N109" si="9">L78-M78</f>
        <v>0</v>
      </c>
    </row>
    <row r="79" spans="1:256" ht="12.75" x14ac:dyDescent="0.2">
      <c r="A79" s="15">
        <v>2</v>
      </c>
      <c r="B79" s="34">
        <v>2</v>
      </c>
      <c r="C79" s="34">
        <v>5</v>
      </c>
      <c r="D79" s="34">
        <v>3</v>
      </c>
      <c r="E79" s="34">
        <v>0.3</v>
      </c>
      <c r="F79" s="35" t="s">
        <v>82</v>
      </c>
      <c r="G79" s="47">
        <f>G80</f>
        <v>0</v>
      </c>
      <c r="H79" s="37">
        <f>VLOOKUP(F79,[1]PPNE6!$F$22:$N$266,9,FALSE)</f>
        <v>0</v>
      </c>
      <c r="I79" s="45">
        <f>I80</f>
        <v>0</v>
      </c>
      <c r="J79" s="39">
        <f t="shared" si="6"/>
        <v>0</v>
      </c>
      <c r="K79" s="46">
        <f>K80</f>
        <v>0.26892142669858782</v>
      </c>
      <c r="L79" s="95">
        <f t="shared" si="8"/>
        <v>0</v>
      </c>
      <c r="M79" s="95"/>
      <c r="N79" s="95">
        <f t="shared" si="9"/>
        <v>0</v>
      </c>
    </row>
    <row r="80" spans="1:256" ht="12.75" x14ac:dyDescent="0.2">
      <c r="A80" s="15">
        <v>2</v>
      </c>
      <c r="B80" s="34">
        <v>2</v>
      </c>
      <c r="C80" s="34">
        <v>5</v>
      </c>
      <c r="D80" s="34">
        <v>4</v>
      </c>
      <c r="E80" s="34">
        <v>0.1</v>
      </c>
      <c r="F80" s="35" t="s">
        <v>83</v>
      </c>
      <c r="G80" s="36"/>
      <c r="H80" s="37">
        <f>VLOOKUP(F80,[1]PPNE6!$F$22:$N$266,9,FALSE)</f>
        <v>1531440</v>
      </c>
      <c r="I80" s="38"/>
      <c r="J80" s="39">
        <f t="shared" si="6"/>
        <v>1531440</v>
      </c>
      <c r="K80" s="40">
        <f>IFERROR(J80/$J$14*100,"0.00")</f>
        <v>0.26892142669858782</v>
      </c>
      <c r="L80" s="95">
        <f t="shared" si="8"/>
        <v>127620</v>
      </c>
      <c r="M80" s="95">
        <v>261000</v>
      </c>
      <c r="N80" s="95">
        <f t="shared" si="9"/>
        <v>-133380</v>
      </c>
    </row>
    <row r="81" spans="1:256" ht="12.75" x14ac:dyDescent="0.2">
      <c r="A81" s="15">
        <v>2</v>
      </c>
      <c r="B81" s="34">
        <v>2</v>
      </c>
      <c r="C81" s="34">
        <v>5</v>
      </c>
      <c r="D81" s="34">
        <v>8</v>
      </c>
      <c r="E81" s="34">
        <v>0.1</v>
      </c>
      <c r="F81" s="49" t="s">
        <v>84</v>
      </c>
      <c r="G81" s="47">
        <f>G82</f>
        <v>0</v>
      </c>
      <c r="H81" s="37">
        <f>VLOOKUP(F81,[1]PPNE6!$F$22:$N$266,9,FALSE)</f>
        <v>388658.77714285714</v>
      </c>
      <c r="I81" s="45">
        <f>I82</f>
        <v>0</v>
      </c>
      <c r="J81" s="39">
        <f t="shared" ref="J81:J112" si="10">SUBTOTAL(9,G81:I81)</f>
        <v>388658.77714285714</v>
      </c>
      <c r="K81" s="46">
        <f>K82</f>
        <v>0.90694410307706541</v>
      </c>
      <c r="L81" s="95">
        <f t="shared" si="8"/>
        <v>32388.231428571427</v>
      </c>
      <c r="M81" s="95"/>
      <c r="N81" s="95">
        <f t="shared" si="9"/>
        <v>32388.231428571427</v>
      </c>
    </row>
    <row r="82" spans="1:256" s="96" customFormat="1" ht="12.75" x14ac:dyDescent="0.2">
      <c r="A82" s="15">
        <v>2</v>
      </c>
      <c r="B82" s="31">
        <v>2</v>
      </c>
      <c r="C82" s="31">
        <v>6</v>
      </c>
      <c r="D82" s="31"/>
      <c r="E82" s="31"/>
      <c r="F82" s="32" t="s">
        <v>85</v>
      </c>
      <c r="G82" s="26"/>
      <c r="H82" s="48">
        <f>VLOOKUP(F82,[1]PPNE6!$F$22:$N$266,9,FALSE)</f>
        <v>5164818.9371428574</v>
      </c>
      <c r="I82" s="28"/>
      <c r="J82" s="43">
        <f t="shared" si="10"/>
        <v>5164818.9371428574</v>
      </c>
      <c r="K82" s="30">
        <f>IFERROR(J82/$J$14*100,"0.00")</f>
        <v>0.90694410307706541</v>
      </c>
      <c r="L82" s="99">
        <f>L83+L85+L86+L87+L88</f>
        <v>430401.57809523813</v>
      </c>
      <c r="M82" s="99">
        <f>M83+M85+M86+M87+M88</f>
        <v>0</v>
      </c>
      <c r="N82" s="99">
        <f t="shared" si="9"/>
        <v>430401.57809523813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96" customFormat="1" ht="12.75" x14ac:dyDescent="0.2">
      <c r="A83" s="15">
        <v>2</v>
      </c>
      <c r="B83" s="31">
        <v>2</v>
      </c>
      <c r="C83" s="31">
        <v>6</v>
      </c>
      <c r="D83" s="31">
        <v>1</v>
      </c>
      <c r="E83" s="31"/>
      <c r="F83" s="32" t="s">
        <v>86</v>
      </c>
      <c r="G83" s="26">
        <f>+G84+G102+G107+G112+G121+G142+G161+G179</f>
        <v>0</v>
      </c>
      <c r="H83" s="48">
        <f>VLOOKUP(F83,[1]PPNE6!$F$22:$N$266,9,FALSE)</f>
        <v>5164818.9371428574</v>
      </c>
      <c r="I83" s="28">
        <f>+I84+I102+I107+I112+I121+I142+I161+I179</f>
        <v>0</v>
      </c>
      <c r="J83" s="33">
        <f t="shared" si="10"/>
        <v>5164818.9371428574</v>
      </c>
      <c r="K83" s="30">
        <f>+K84+K102+K107+K112+K121+K142+K161+K179</f>
        <v>74.848308537723469</v>
      </c>
      <c r="L83" s="97">
        <f>L84</f>
        <v>416666.66666666669</v>
      </c>
      <c r="M83" s="97">
        <f>M84</f>
        <v>0</v>
      </c>
      <c r="N83" s="97">
        <f t="shared" si="9"/>
        <v>416666.66666666669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ht="12.75" x14ac:dyDescent="0.2">
      <c r="A84" s="15">
        <v>2</v>
      </c>
      <c r="B84" s="34">
        <v>2</v>
      </c>
      <c r="C84" s="34">
        <v>6</v>
      </c>
      <c r="D84" s="34">
        <v>1</v>
      </c>
      <c r="E84" s="34">
        <v>0.1</v>
      </c>
      <c r="F84" s="35" t="s">
        <v>87</v>
      </c>
      <c r="G84" s="47">
        <f>+G85+G87+G89+G91+G93+G95+G98+G100</f>
        <v>0</v>
      </c>
      <c r="H84" s="37">
        <f>VLOOKUP(F84,[1]PPNE6!$F$22:$N$266,9,FALSE)</f>
        <v>5000000</v>
      </c>
      <c r="I84" s="45">
        <f>+I85+I87+I89+I91+I93+I95+I98+I100</f>
        <v>0</v>
      </c>
      <c r="J84" s="39">
        <f t="shared" si="10"/>
        <v>5000000</v>
      </c>
      <c r="K84" s="46">
        <f>+K85+K87+K89+K91+K93+K95+K98+K100</f>
        <v>8.4379082951216215</v>
      </c>
      <c r="L84" s="95">
        <f>J84/12</f>
        <v>416666.66666666669</v>
      </c>
      <c r="M84" s="95"/>
      <c r="N84" s="95">
        <f t="shared" si="9"/>
        <v>416666.66666666669</v>
      </c>
    </row>
    <row r="85" spans="1:256" ht="12.75" x14ac:dyDescent="0.2">
      <c r="A85" s="15">
        <v>2</v>
      </c>
      <c r="B85" s="34">
        <v>2</v>
      </c>
      <c r="C85" s="34">
        <v>6</v>
      </c>
      <c r="D85" s="34">
        <v>2</v>
      </c>
      <c r="E85" s="34">
        <v>0.1</v>
      </c>
      <c r="F85" s="35" t="s">
        <v>88</v>
      </c>
      <c r="G85" s="57">
        <f>G86</f>
        <v>0</v>
      </c>
      <c r="H85" s="37">
        <f>VLOOKUP(F85,[1]PPNE6!$F$22:$N$266,9,FALSE)</f>
        <v>164818.93714285715</v>
      </c>
      <c r="I85" s="58">
        <f>I86</f>
        <v>0</v>
      </c>
      <c r="J85" s="59">
        <f t="shared" si="10"/>
        <v>164818.93714285715</v>
      </c>
      <c r="K85" s="46">
        <f>K86</f>
        <v>0</v>
      </c>
      <c r="L85" s="107">
        <f>J85/12</f>
        <v>13734.911428571429</v>
      </c>
      <c r="M85" s="95"/>
      <c r="N85" s="95">
        <f t="shared" si="9"/>
        <v>13734.911428571429</v>
      </c>
    </row>
    <row r="86" spans="1:256" ht="12.75" x14ac:dyDescent="0.2">
      <c r="A86" s="15">
        <v>2</v>
      </c>
      <c r="B86" s="34">
        <v>2</v>
      </c>
      <c r="C86" s="34">
        <v>6</v>
      </c>
      <c r="D86" s="34">
        <v>3</v>
      </c>
      <c r="E86" s="34">
        <v>0.1</v>
      </c>
      <c r="F86" s="35" t="s">
        <v>89</v>
      </c>
      <c r="G86" s="36"/>
      <c r="H86" s="37">
        <f>VLOOKUP(F86,[1]PPNE6!$F$22:$N$266,9,FALSE)</f>
        <v>0</v>
      </c>
      <c r="I86" s="38"/>
      <c r="J86" s="59">
        <f t="shared" si="10"/>
        <v>0</v>
      </c>
      <c r="K86" s="40">
        <f>IFERROR(J86/$J$14*100,"0.00")</f>
        <v>0</v>
      </c>
      <c r="L86" s="107">
        <f>J86/12</f>
        <v>0</v>
      </c>
      <c r="M86" s="95"/>
      <c r="N86" s="95">
        <f t="shared" si="9"/>
        <v>0</v>
      </c>
    </row>
    <row r="87" spans="1:256" ht="12.75" x14ac:dyDescent="0.2">
      <c r="A87" s="15">
        <v>2</v>
      </c>
      <c r="B87" s="34">
        <v>2</v>
      </c>
      <c r="C87" s="34">
        <v>6</v>
      </c>
      <c r="D87" s="34">
        <v>4</v>
      </c>
      <c r="E87" s="34">
        <v>0.1</v>
      </c>
      <c r="F87" s="35" t="s">
        <v>90</v>
      </c>
      <c r="G87" s="47">
        <f>G88</f>
        <v>0</v>
      </c>
      <c r="H87" s="37">
        <f>VLOOKUP(F87,[1]PPNE6!$F$22:$N$266,9,FALSE)</f>
        <v>0</v>
      </c>
      <c r="I87" s="45">
        <f>I88</f>
        <v>0</v>
      </c>
      <c r="J87" s="39">
        <f t="shared" si="10"/>
        <v>0</v>
      </c>
      <c r="K87" s="46">
        <f>K88</f>
        <v>0</v>
      </c>
      <c r="L87" s="95">
        <f>J87/12</f>
        <v>0</v>
      </c>
      <c r="M87" s="95"/>
      <c r="N87" s="95">
        <f t="shared" si="9"/>
        <v>0</v>
      </c>
    </row>
    <row r="88" spans="1:256" ht="12.75" x14ac:dyDescent="0.2">
      <c r="A88" s="15">
        <v>2</v>
      </c>
      <c r="B88" s="34">
        <v>2</v>
      </c>
      <c r="C88" s="34">
        <v>6</v>
      </c>
      <c r="D88" s="34">
        <v>9</v>
      </c>
      <c r="E88" s="34">
        <v>0.1</v>
      </c>
      <c r="F88" s="35" t="s">
        <v>91</v>
      </c>
      <c r="G88" s="36"/>
      <c r="H88" s="37">
        <f>VLOOKUP(F88,[1]PPNE6!$F$22:$N$266,9,FALSE)</f>
        <v>0</v>
      </c>
      <c r="I88" s="38"/>
      <c r="J88" s="39">
        <f t="shared" si="10"/>
        <v>0</v>
      </c>
      <c r="K88" s="40">
        <f>IFERROR(J88/$J$14*100,"0.00")</f>
        <v>0</v>
      </c>
      <c r="L88" s="95">
        <f>J88/12</f>
        <v>0</v>
      </c>
      <c r="M88" s="95"/>
      <c r="N88" s="95">
        <f t="shared" si="9"/>
        <v>0</v>
      </c>
    </row>
    <row r="89" spans="1:256" s="96" customFormat="1" ht="12.75" x14ac:dyDescent="0.2">
      <c r="A89" s="15">
        <v>2</v>
      </c>
      <c r="B89" s="31">
        <v>2</v>
      </c>
      <c r="C89" s="31">
        <v>7</v>
      </c>
      <c r="D89" s="31"/>
      <c r="E89" s="31"/>
      <c r="F89" s="32" t="s">
        <v>92</v>
      </c>
      <c r="G89" s="26">
        <f>G90</f>
        <v>0</v>
      </c>
      <c r="H89" s="48">
        <f>VLOOKUP(F89,[1]PPNE6!$F$22:$N$266,9,FALSE)</f>
        <v>24772044.268571429</v>
      </c>
      <c r="I89" s="28">
        <f>I90</f>
        <v>0</v>
      </c>
      <c r="J89" s="43">
        <f t="shared" si="10"/>
        <v>24772044.268571429</v>
      </c>
      <c r="K89" s="30">
        <f>K90</f>
        <v>2.2595477822941965</v>
      </c>
      <c r="L89" s="99">
        <f>L90+L96</f>
        <v>2064337.0223809525</v>
      </c>
      <c r="M89" s="99">
        <f>M90+M96</f>
        <v>8216.4399999999987</v>
      </c>
      <c r="N89" s="99">
        <f t="shared" si="9"/>
        <v>2056120.5823809525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96" customFormat="1" ht="12.75" x14ac:dyDescent="0.2">
      <c r="A90" s="15">
        <v>2</v>
      </c>
      <c r="B90" s="31">
        <v>2</v>
      </c>
      <c r="C90" s="31">
        <v>7</v>
      </c>
      <c r="D90" s="31">
        <v>1</v>
      </c>
      <c r="E90" s="31"/>
      <c r="F90" s="32" t="s">
        <v>93</v>
      </c>
      <c r="G90" s="51"/>
      <c r="H90" s="48">
        <f>VLOOKUP(F90,[1]PPNE6!$F$22:$N$266,9,FALSE)</f>
        <v>12867557.257142857</v>
      </c>
      <c r="I90" s="52"/>
      <c r="J90" s="33">
        <f t="shared" si="10"/>
        <v>12867557.257142857</v>
      </c>
      <c r="K90" s="53">
        <f>IFERROR(J90/$J$14*100,"0.00")</f>
        <v>2.2595477822941965</v>
      </c>
      <c r="L90" s="97">
        <f>SUM(L91:L95)</f>
        <v>1072296.4380952381</v>
      </c>
      <c r="M90" s="97">
        <f>SUM(M91:M95)</f>
        <v>0</v>
      </c>
      <c r="N90" s="97">
        <f t="shared" si="9"/>
        <v>1072296.4380952381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ht="12.75" x14ac:dyDescent="0.2">
      <c r="A91" s="15">
        <v>2</v>
      </c>
      <c r="B91" s="34">
        <v>2</v>
      </c>
      <c r="C91" s="34">
        <v>7</v>
      </c>
      <c r="D91" s="34">
        <v>1</v>
      </c>
      <c r="E91" s="34">
        <v>0.1</v>
      </c>
      <c r="F91" s="35" t="s">
        <v>94</v>
      </c>
      <c r="G91" s="47">
        <f>G92</f>
        <v>0</v>
      </c>
      <c r="H91" s="37">
        <f>VLOOKUP(F91,[1]PPNE6!$F$22:$N$266,9,FALSE)</f>
        <v>0</v>
      </c>
      <c r="I91" s="45">
        <f>I92</f>
        <v>0</v>
      </c>
      <c r="J91" s="39">
        <f t="shared" si="10"/>
        <v>0</v>
      </c>
      <c r="K91" s="46">
        <f>K92</f>
        <v>2.2476847031172777</v>
      </c>
      <c r="L91" s="95">
        <f>J91/12</f>
        <v>0</v>
      </c>
      <c r="M91" s="95"/>
      <c r="N91" s="95">
        <f t="shared" si="9"/>
        <v>0</v>
      </c>
    </row>
    <row r="92" spans="1:256" ht="12.75" x14ac:dyDescent="0.2">
      <c r="A92" s="15">
        <v>2</v>
      </c>
      <c r="B92" s="34">
        <v>2</v>
      </c>
      <c r="C92" s="34">
        <v>7</v>
      </c>
      <c r="D92" s="34">
        <v>1</v>
      </c>
      <c r="E92" s="34">
        <v>0.2</v>
      </c>
      <c r="F92" s="35" t="s">
        <v>95</v>
      </c>
      <c r="G92" s="36"/>
      <c r="H92" s="37">
        <f>VLOOKUP(F92,[1]PPNE6!$F$22:$N$266,9,FALSE)</f>
        <v>12800000</v>
      </c>
      <c r="I92" s="38"/>
      <c r="J92" s="39">
        <f t="shared" si="10"/>
        <v>12800000</v>
      </c>
      <c r="K92" s="40">
        <f>IFERROR(J92/$J$14*100,"0.00")</f>
        <v>2.2476847031172777</v>
      </c>
      <c r="L92" s="95">
        <f>J92/12</f>
        <v>1066666.6666666667</v>
      </c>
      <c r="M92" s="95">
        <v>0</v>
      </c>
      <c r="N92" s="95">
        <f t="shared" si="9"/>
        <v>1066666.6666666667</v>
      </c>
    </row>
    <row r="93" spans="1:256" ht="12.75" x14ac:dyDescent="0.2">
      <c r="A93" s="15">
        <v>2</v>
      </c>
      <c r="B93" s="34">
        <v>2</v>
      </c>
      <c r="C93" s="34">
        <v>7</v>
      </c>
      <c r="D93" s="34">
        <v>1</v>
      </c>
      <c r="E93" s="34">
        <v>0.3</v>
      </c>
      <c r="F93" s="35" t="s">
        <v>96</v>
      </c>
      <c r="G93" s="47">
        <f>G94</f>
        <v>0</v>
      </c>
      <c r="H93" s="37">
        <f>VLOOKUP(F93,[1]PPNE6!$F$22:$N$266,9,FALSE)</f>
        <v>67557.257142857154</v>
      </c>
      <c r="I93" s="45">
        <f>I94</f>
        <v>0</v>
      </c>
      <c r="J93" s="39">
        <f t="shared" si="10"/>
        <v>67557.257142857154</v>
      </c>
      <c r="K93" s="46">
        <f>K94</f>
        <v>0</v>
      </c>
      <c r="L93" s="95">
        <f>J93/12</f>
        <v>5629.7714285714292</v>
      </c>
      <c r="M93" s="95">
        <v>0</v>
      </c>
      <c r="N93" s="95">
        <f t="shared" si="9"/>
        <v>5629.7714285714292</v>
      </c>
    </row>
    <row r="94" spans="1:256" ht="12.75" x14ac:dyDescent="0.2">
      <c r="A94" s="15">
        <v>2</v>
      </c>
      <c r="B94" s="34">
        <v>2</v>
      </c>
      <c r="C94" s="34">
        <v>7</v>
      </c>
      <c r="D94" s="34">
        <v>1</v>
      </c>
      <c r="E94" s="34">
        <v>0.6</v>
      </c>
      <c r="F94" s="49" t="s">
        <v>97</v>
      </c>
      <c r="G94" s="36"/>
      <c r="H94" s="37">
        <f>VLOOKUP(F94,[1]PPNE6!$F$22:$N$266,9,FALSE)</f>
        <v>0</v>
      </c>
      <c r="I94" s="38"/>
      <c r="J94" s="39">
        <f t="shared" si="10"/>
        <v>0</v>
      </c>
      <c r="K94" s="40">
        <f>IFERROR(J94/$J$14*100,"0.00")</f>
        <v>0</v>
      </c>
      <c r="L94" s="95">
        <f>J94/12</f>
        <v>0</v>
      </c>
      <c r="M94" s="95"/>
      <c r="N94" s="95">
        <f t="shared" si="9"/>
        <v>0</v>
      </c>
    </row>
    <row r="95" spans="1:256" ht="12.75" x14ac:dyDescent="0.2">
      <c r="A95" s="15">
        <v>2</v>
      </c>
      <c r="B95" s="34">
        <v>2</v>
      </c>
      <c r="C95" s="34">
        <v>7</v>
      </c>
      <c r="D95" s="34">
        <v>1</v>
      </c>
      <c r="E95" s="34">
        <v>0.7</v>
      </c>
      <c r="F95" s="35" t="s">
        <v>98</v>
      </c>
      <c r="G95" s="47">
        <f>G96+G97</f>
        <v>0</v>
      </c>
      <c r="H95" s="37">
        <f>VLOOKUP(F95,[1]PPNE6!$F$22:$N$266,9,FALSE)</f>
        <v>0</v>
      </c>
      <c r="I95" s="45">
        <f>I96+I97</f>
        <v>0</v>
      </c>
      <c r="J95" s="39">
        <f t="shared" si="10"/>
        <v>0</v>
      </c>
      <c r="K95" s="46">
        <f>K96+K97</f>
        <v>3.9306758097101469</v>
      </c>
      <c r="L95" s="95">
        <f>J95/12</f>
        <v>0</v>
      </c>
      <c r="M95" s="95"/>
      <c r="N95" s="95">
        <f t="shared" si="9"/>
        <v>0</v>
      </c>
    </row>
    <row r="96" spans="1:256" s="96" customFormat="1" ht="12.75" x14ac:dyDescent="0.2">
      <c r="A96" s="15">
        <v>2</v>
      </c>
      <c r="B96" s="31">
        <v>2</v>
      </c>
      <c r="C96" s="31">
        <v>7</v>
      </c>
      <c r="D96" s="31">
        <v>2</v>
      </c>
      <c r="E96" s="31"/>
      <c r="F96" s="32" t="s">
        <v>99</v>
      </c>
      <c r="G96" s="60"/>
      <c r="H96" s="48">
        <f>VLOOKUP(F96,[1]PPNE6!$F$22:$N$266,9,FALSE)</f>
        <v>11904487.011428572</v>
      </c>
      <c r="I96" s="61"/>
      <c r="J96" s="43">
        <f t="shared" si="10"/>
        <v>11904487.011428572</v>
      </c>
      <c r="K96" s="62">
        <f>IFERROR(J96/$J$14*100,"0.00")</f>
        <v>2.0904322932848687</v>
      </c>
      <c r="L96" s="99">
        <f>SUM(L97:L102)</f>
        <v>992040.58428571443</v>
      </c>
      <c r="M96" s="99">
        <f>SUM(M97:M102)</f>
        <v>8216.4399999999987</v>
      </c>
      <c r="N96" s="99">
        <f t="shared" si="9"/>
        <v>983824.14428571449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ht="12.75" x14ac:dyDescent="0.2">
      <c r="A97" s="15">
        <v>2</v>
      </c>
      <c r="B97" s="34">
        <v>2</v>
      </c>
      <c r="C97" s="34">
        <v>7</v>
      </c>
      <c r="D97" s="34">
        <v>2</v>
      </c>
      <c r="E97" s="34">
        <v>0.1</v>
      </c>
      <c r="F97" s="35" t="s">
        <v>100</v>
      </c>
      <c r="G97" s="63"/>
      <c r="H97" s="37">
        <f>VLOOKUP(F97,[1]PPNE6!$F$22:$N$266,9,FALSE)</f>
        <v>10479724.748571429</v>
      </c>
      <c r="I97" s="64"/>
      <c r="J97" s="39">
        <f t="shared" si="10"/>
        <v>10479724.748571429</v>
      </c>
      <c r="K97" s="40">
        <f>IFERROR(J97/$J$14*100,"0.00")</f>
        <v>1.8402435164252784</v>
      </c>
      <c r="L97" s="95">
        <f t="shared" ref="L97:L102" si="11">J97/12</f>
        <v>873310.39571428578</v>
      </c>
      <c r="M97" s="95"/>
      <c r="N97" s="95">
        <f t="shared" si="9"/>
        <v>873310.39571428578</v>
      </c>
    </row>
    <row r="98" spans="1:256" ht="12.75" x14ac:dyDescent="0.2">
      <c r="A98" s="15">
        <v>2</v>
      </c>
      <c r="B98" s="34">
        <v>2</v>
      </c>
      <c r="C98" s="34">
        <v>7</v>
      </c>
      <c r="D98" s="34">
        <v>2</v>
      </c>
      <c r="E98" s="34">
        <v>0.2</v>
      </c>
      <c r="F98" s="35" t="s">
        <v>101</v>
      </c>
      <c r="G98" s="47">
        <f>G99</f>
        <v>0</v>
      </c>
      <c r="H98" s="37">
        <f>VLOOKUP(F98,[1]PPNE6!$F$22:$N$266,9,FALSE)</f>
        <v>0</v>
      </c>
      <c r="I98" s="45">
        <f>I99</f>
        <v>0</v>
      </c>
      <c r="J98" s="39">
        <f t="shared" si="10"/>
        <v>0</v>
      </c>
      <c r="K98" s="46">
        <f>K99</f>
        <v>0</v>
      </c>
      <c r="L98" s="95">
        <f t="shared" si="11"/>
        <v>0</v>
      </c>
      <c r="M98" s="95"/>
      <c r="N98" s="95">
        <f t="shared" si="9"/>
        <v>0</v>
      </c>
    </row>
    <row r="99" spans="1:256" ht="12.75" x14ac:dyDescent="0.2">
      <c r="A99" s="15">
        <v>2</v>
      </c>
      <c r="B99" s="34">
        <v>2</v>
      </c>
      <c r="C99" s="34">
        <v>7</v>
      </c>
      <c r="D99" s="34">
        <v>2</v>
      </c>
      <c r="E99" s="34">
        <v>0.3</v>
      </c>
      <c r="F99" s="35" t="s">
        <v>102</v>
      </c>
      <c r="G99" s="36"/>
      <c r="H99" s="37">
        <f>VLOOKUP(F99,[1]PPNE6!$F$22:$N$266,9,FALSE)</f>
        <v>0</v>
      </c>
      <c r="I99" s="38"/>
      <c r="J99" s="39">
        <f t="shared" si="10"/>
        <v>0</v>
      </c>
      <c r="K99" s="40">
        <f>IFERROR(J99/$J$14*100,"0.00")</f>
        <v>0</v>
      </c>
      <c r="L99" s="95">
        <f t="shared" si="11"/>
        <v>0</v>
      </c>
      <c r="M99" s="95"/>
      <c r="N99" s="95">
        <f t="shared" si="9"/>
        <v>0</v>
      </c>
    </row>
    <row r="100" spans="1:256" ht="12.75" x14ac:dyDescent="0.2">
      <c r="A100" s="15">
        <v>2</v>
      </c>
      <c r="B100" s="34">
        <v>2</v>
      </c>
      <c r="C100" s="34">
        <v>7</v>
      </c>
      <c r="D100" s="34">
        <v>2</v>
      </c>
      <c r="E100" s="34">
        <v>0.4</v>
      </c>
      <c r="F100" s="35" t="s">
        <v>103</v>
      </c>
      <c r="G100" s="47">
        <f>G101</f>
        <v>0</v>
      </c>
      <c r="H100" s="37">
        <f>VLOOKUP(F100,[1]PPNE6!$F$22:$N$266,9,FALSE)</f>
        <v>1281980.04</v>
      </c>
      <c r="I100" s="45">
        <f>I101</f>
        <v>0</v>
      </c>
      <c r="J100" s="39">
        <f t="shared" si="10"/>
        <v>1281980.04</v>
      </c>
      <c r="K100" s="46">
        <f>K101</f>
        <v>0</v>
      </c>
      <c r="L100" s="95">
        <f t="shared" si="11"/>
        <v>106831.67</v>
      </c>
      <c r="M100" s="95">
        <v>5423.44</v>
      </c>
      <c r="N100" s="95">
        <f t="shared" si="9"/>
        <v>101408.23</v>
      </c>
    </row>
    <row r="101" spans="1:256" ht="12.75" x14ac:dyDescent="0.2">
      <c r="A101" s="15">
        <v>2</v>
      </c>
      <c r="B101" s="34">
        <v>2</v>
      </c>
      <c r="C101" s="34">
        <v>7</v>
      </c>
      <c r="D101" s="34">
        <v>2</v>
      </c>
      <c r="E101" s="34">
        <v>0.5</v>
      </c>
      <c r="F101" s="35" t="s">
        <v>104</v>
      </c>
      <c r="G101" s="36"/>
      <c r="H101" s="37">
        <f>VLOOKUP(F101,[1]PPNE6!$F$22:$N$266,9,FALSE)</f>
        <v>0</v>
      </c>
      <c r="I101" s="38"/>
      <c r="J101" s="39">
        <f t="shared" si="10"/>
        <v>0</v>
      </c>
      <c r="K101" s="40">
        <f>IFERROR(J101/$J$14*100,"0.00")</f>
        <v>0</v>
      </c>
      <c r="L101" s="95">
        <f t="shared" si="11"/>
        <v>0</v>
      </c>
      <c r="M101" s="95"/>
      <c r="N101" s="95">
        <f t="shared" si="9"/>
        <v>0</v>
      </c>
    </row>
    <row r="102" spans="1:256" ht="12.75" x14ac:dyDescent="0.2">
      <c r="A102" s="15">
        <v>2</v>
      </c>
      <c r="B102" s="34">
        <v>2</v>
      </c>
      <c r="C102" s="34">
        <v>7</v>
      </c>
      <c r="D102" s="34">
        <v>2</v>
      </c>
      <c r="E102" s="34">
        <v>0.6</v>
      </c>
      <c r="F102" s="35" t="s">
        <v>105</v>
      </c>
      <c r="G102" s="47">
        <f>+G103+G105</f>
        <v>0</v>
      </c>
      <c r="H102" s="37">
        <f>VLOOKUP(F102,[1]PPNE6!$F$22:$N$266,9,FALSE)</f>
        <v>142782.22285714286</v>
      </c>
      <c r="I102" s="45">
        <f>+I103+I105</f>
        <v>0</v>
      </c>
      <c r="J102" s="39">
        <f t="shared" si="10"/>
        <v>142782.22285714286</v>
      </c>
      <c r="K102" s="46">
        <f>+K103+K105</f>
        <v>3.1193867536689028</v>
      </c>
      <c r="L102" s="95">
        <f t="shared" si="11"/>
        <v>11898.518571428571</v>
      </c>
      <c r="M102" s="95">
        <v>2793</v>
      </c>
      <c r="N102" s="95">
        <f t="shared" si="9"/>
        <v>9105.5185714285708</v>
      </c>
    </row>
    <row r="103" spans="1:256" s="96" customFormat="1" ht="12.75" x14ac:dyDescent="0.2">
      <c r="A103" s="15">
        <v>2</v>
      </c>
      <c r="B103" s="31">
        <v>2</v>
      </c>
      <c r="C103" s="31">
        <v>8</v>
      </c>
      <c r="D103" s="31"/>
      <c r="E103" s="31"/>
      <c r="F103" s="32" t="s">
        <v>106</v>
      </c>
      <c r="G103" s="26">
        <f>G104</f>
        <v>0</v>
      </c>
      <c r="H103" s="48">
        <f>VLOOKUP(F103,[1]PPNE6!$F$22:$N$266,9,FALSE)</f>
        <v>36231031.479999997</v>
      </c>
      <c r="I103" s="28">
        <f>I104</f>
        <v>0</v>
      </c>
      <c r="J103" s="43">
        <f t="shared" si="10"/>
        <v>36231031.479999997</v>
      </c>
      <c r="K103" s="30">
        <f>K104</f>
        <v>3.1193867536689028</v>
      </c>
      <c r="L103" s="99">
        <f>SUM(L104:L117)</f>
        <v>3019252.6233333331</v>
      </c>
      <c r="M103" s="99">
        <f>SUM(M104:M117)</f>
        <v>1189034.94</v>
      </c>
      <c r="N103" s="99">
        <f t="shared" si="9"/>
        <v>1830217.6833333331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ht="12.75" x14ac:dyDescent="0.2">
      <c r="A104" s="15">
        <v>2</v>
      </c>
      <c r="B104" s="34">
        <v>2</v>
      </c>
      <c r="C104" s="34">
        <v>8</v>
      </c>
      <c r="D104" s="34">
        <v>1</v>
      </c>
      <c r="E104" s="34">
        <v>0.1</v>
      </c>
      <c r="F104" s="49" t="s">
        <v>107</v>
      </c>
      <c r="G104" s="36"/>
      <c r="H104" s="37">
        <f>VLOOKUP(F104,[1]PPNE6!$F$22:$N$266,9,FALSE)</f>
        <v>17764124.297142856</v>
      </c>
      <c r="I104" s="38"/>
      <c r="J104" s="39">
        <f t="shared" si="10"/>
        <v>17764124.297142856</v>
      </c>
      <c r="K104" s="40">
        <f>IFERROR(J104/$J$14*100,"0.00")</f>
        <v>3.1193867536689028</v>
      </c>
      <c r="L104" s="95">
        <f t="shared" ref="L104:L117" si="12">J104/12</f>
        <v>1480343.6914285712</v>
      </c>
      <c r="M104" s="95"/>
      <c r="N104" s="95">
        <f t="shared" si="9"/>
        <v>1480343.6914285712</v>
      </c>
    </row>
    <row r="105" spans="1:256" ht="12.75" x14ac:dyDescent="0.2">
      <c r="A105" s="15">
        <v>2</v>
      </c>
      <c r="B105" s="34">
        <v>2</v>
      </c>
      <c r="C105" s="34">
        <v>8</v>
      </c>
      <c r="D105" s="34">
        <v>2</v>
      </c>
      <c r="E105" s="34">
        <v>0.1</v>
      </c>
      <c r="F105" s="35" t="s">
        <v>108</v>
      </c>
      <c r="G105" s="47">
        <f>G106</f>
        <v>0</v>
      </c>
      <c r="H105" s="37">
        <f>VLOOKUP(F105,[1]PPNE6!$F$22:$N$266,9,FALSE)</f>
        <v>284604.01714285719</v>
      </c>
      <c r="I105" s="45">
        <f>I106</f>
        <v>0</v>
      </c>
      <c r="J105" s="39">
        <f t="shared" si="10"/>
        <v>284604.01714285719</v>
      </c>
      <c r="K105" s="46">
        <f>K106</f>
        <v>0</v>
      </c>
      <c r="L105" s="95">
        <f t="shared" si="12"/>
        <v>23717.001428571431</v>
      </c>
      <c r="M105" s="95">
        <v>24049.33</v>
      </c>
      <c r="N105" s="95">
        <f t="shared" si="9"/>
        <v>-332.32857142857029</v>
      </c>
    </row>
    <row r="106" spans="1:256" ht="12.75" x14ac:dyDescent="0.2">
      <c r="A106" s="15">
        <v>2</v>
      </c>
      <c r="B106" s="34">
        <v>2</v>
      </c>
      <c r="C106" s="34">
        <v>8</v>
      </c>
      <c r="D106" s="34">
        <v>3</v>
      </c>
      <c r="E106" s="34">
        <v>0.1</v>
      </c>
      <c r="F106" s="35" t="s">
        <v>109</v>
      </c>
      <c r="G106" s="36"/>
      <c r="H106" s="37">
        <f>VLOOKUP(F106,[1]PPNE6!$F$22:$N$266,9,FALSE)</f>
        <v>0</v>
      </c>
      <c r="I106" s="38"/>
      <c r="J106" s="39">
        <f t="shared" si="10"/>
        <v>0</v>
      </c>
      <c r="K106" s="40">
        <f>IFERROR(J106/$J$14*100,"0.00")</f>
        <v>0</v>
      </c>
      <c r="L106" s="95">
        <f t="shared" si="12"/>
        <v>0</v>
      </c>
      <c r="M106" s="95"/>
      <c r="N106" s="95">
        <f t="shared" si="9"/>
        <v>0</v>
      </c>
    </row>
    <row r="107" spans="1:256" ht="12.75" x14ac:dyDescent="0.2">
      <c r="A107" s="15">
        <v>2</v>
      </c>
      <c r="B107" s="34">
        <v>2</v>
      </c>
      <c r="C107" s="34">
        <v>8</v>
      </c>
      <c r="D107" s="34">
        <v>4</v>
      </c>
      <c r="E107" s="34">
        <v>0.1</v>
      </c>
      <c r="F107" s="35" t="s">
        <v>110</v>
      </c>
      <c r="G107" s="36">
        <f>+G108+G110</f>
        <v>0</v>
      </c>
      <c r="H107" s="37">
        <f>VLOOKUP(F107,[1]PPNE6!$F$22:$N$266,9,FALSE)</f>
        <v>0</v>
      </c>
      <c r="I107" s="38">
        <f>+I108+I110</f>
        <v>0</v>
      </c>
      <c r="J107" s="39">
        <f t="shared" si="10"/>
        <v>0</v>
      </c>
      <c r="K107" s="40">
        <f>+K108+K110</f>
        <v>7.5257300327587423E-4</v>
      </c>
      <c r="L107" s="95">
        <f t="shared" si="12"/>
        <v>0</v>
      </c>
      <c r="M107" s="95"/>
      <c r="N107" s="95">
        <f t="shared" si="9"/>
        <v>0</v>
      </c>
    </row>
    <row r="108" spans="1:256" ht="12.75" x14ac:dyDescent="0.2">
      <c r="A108" s="15">
        <v>2</v>
      </c>
      <c r="B108" s="34">
        <v>2</v>
      </c>
      <c r="C108" s="34">
        <v>8</v>
      </c>
      <c r="D108" s="34">
        <v>5</v>
      </c>
      <c r="E108" s="34">
        <v>0.3</v>
      </c>
      <c r="F108" s="35" t="s">
        <v>111</v>
      </c>
      <c r="G108" s="47">
        <f>G109</f>
        <v>0</v>
      </c>
      <c r="H108" s="37">
        <f>VLOOKUP(F108,[1]PPNE6!$F$22:$N$266,9,FALSE)</f>
        <v>33471.428571428572</v>
      </c>
      <c r="I108" s="45">
        <f>I109</f>
        <v>0</v>
      </c>
      <c r="J108" s="39">
        <f t="shared" si="10"/>
        <v>33471.428571428572</v>
      </c>
      <c r="K108" s="46">
        <f>K109</f>
        <v>7.5257300327587423E-4</v>
      </c>
      <c r="L108" s="95">
        <f t="shared" si="12"/>
        <v>2789.2857142857142</v>
      </c>
      <c r="M108" s="95">
        <v>5500</v>
      </c>
      <c r="N108" s="95">
        <f t="shared" si="9"/>
        <v>-2710.7142857142858</v>
      </c>
    </row>
    <row r="109" spans="1:256" ht="12.75" x14ac:dyDescent="0.2">
      <c r="A109" s="15">
        <v>2</v>
      </c>
      <c r="B109" s="34">
        <v>2</v>
      </c>
      <c r="C109" s="34">
        <v>8</v>
      </c>
      <c r="D109" s="34">
        <v>7</v>
      </c>
      <c r="E109" s="34">
        <v>0.1</v>
      </c>
      <c r="F109" s="35" t="s">
        <v>112</v>
      </c>
      <c r="G109" s="36"/>
      <c r="H109" s="37">
        <f>VLOOKUP(F109,[1]PPNE6!$F$22:$N$266,9,FALSE)</f>
        <v>4285.7142857142862</v>
      </c>
      <c r="I109" s="38"/>
      <c r="J109" s="39">
        <f t="shared" si="10"/>
        <v>4285.7142857142862</v>
      </c>
      <c r="K109" s="40">
        <f>IFERROR(J109/$J$14*100,"0.00")</f>
        <v>7.5257300327587423E-4</v>
      </c>
      <c r="L109" s="95">
        <f t="shared" si="12"/>
        <v>357.14285714285717</v>
      </c>
      <c r="M109" s="95"/>
      <c r="N109" s="95">
        <f t="shared" si="9"/>
        <v>357.14285714285717</v>
      </c>
    </row>
    <row r="110" spans="1:256" ht="12.75" x14ac:dyDescent="0.2">
      <c r="A110" s="15">
        <v>2</v>
      </c>
      <c r="B110" s="34">
        <v>2</v>
      </c>
      <c r="C110" s="34">
        <v>8</v>
      </c>
      <c r="D110" s="34">
        <v>7</v>
      </c>
      <c r="E110" s="34">
        <v>0.2</v>
      </c>
      <c r="F110" s="35" t="s">
        <v>113</v>
      </c>
      <c r="G110" s="47">
        <f>G111</f>
        <v>0</v>
      </c>
      <c r="H110" s="37">
        <f>VLOOKUP(F110,[1]PPNE6!$F$22:$N$266,9,FALSE)</f>
        <v>78450.377142857149</v>
      </c>
      <c r="I110" s="45">
        <f>I111</f>
        <v>0</v>
      </c>
      <c r="J110" s="39">
        <f t="shared" si="10"/>
        <v>78450.377142857149</v>
      </c>
      <c r="K110" s="46">
        <f>K111</f>
        <v>0</v>
      </c>
      <c r="L110" s="95">
        <f t="shared" si="12"/>
        <v>6537.5314285714294</v>
      </c>
      <c r="M110" s="95">
        <v>22881.35</v>
      </c>
      <c r="N110" s="95">
        <f t="shared" ref="N110:N141" si="13">L110-M110</f>
        <v>-16343.818571428568</v>
      </c>
    </row>
    <row r="111" spans="1:256" ht="12.75" x14ac:dyDescent="0.2">
      <c r="A111" s="15">
        <v>2</v>
      </c>
      <c r="B111" s="34">
        <v>2</v>
      </c>
      <c r="C111" s="34">
        <v>8</v>
      </c>
      <c r="D111" s="34">
        <v>7</v>
      </c>
      <c r="E111" s="34">
        <v>0.3</v>
      </c>
      <c r="F111" s="35" t="s">
        <v>114</v>
      </c>
      <c r="G111" s="36"/>
      <c r="H111" s="37">
        <f>VLOOKUP(F111,[1]PPNE6!$F$22:$N$266,9,FALSE)</f>
        <v>0</v>
      </c>
      <c r="I111" s="38"/>
      <c r="J111" s="39">
        <f t="shared" si="10"/>
        <v>0</v>
      </c>
      <c r="K111" s="40">
        <f>IFERROR(J111/$J$14*100,"0.00")</f>
        <v>0</v>
      </c>
      <c r="L111" s="95">
        <f t="shared" si="12"/>
        <v>0</v>
      </c>
      <c r="M111" s="95"/>
      <c r="N111" s="95">
        <f t="shared" si="13"/>
        <v>0</v>
      </c>
    </row>
    <row r="112" spans="1:256" ht="12.75" x14ac:dyDescent="0.2">
      <c r="A112" s="15">
        <v>2</v>
      </c>
      <c r="B112" s="34">
        <v>2</v>
      </c>
      <c r="C112" s="34">
        <v>8</v>
      </c>
      <c r="D112" s="34">
        <v>7</v>
      </c>
      <c r="E112" s="34">
        <v>0.4</v>
      </c>
      <c r="F112" s="35" t="s">
        <v>115</v>
      </c>
      <c r="G112" s="36">
        <f>+G113+G115+G117+G119</f>
        <v>0</v>
      </c>
      <c r="H112" s="37">
        <f>VLOOKUP(F112,[1]PPNE6!$F$22:$N$266,9,FALSE)</f>
        <v>1000000</v>
      </c>
      <c r="I112" s="38">
        <f>+I113+I115+I117+I119</f>
        <v>0</v>
      </c>
      <c r="J112" s="39">
        <f t="shared" si="10"/>
        <v>1000000</v>
      </c>
      <c r="K112" s="40">
        <f>+K113+K115+K117+K119</f>
        <v>25.618887462446288</v>
      </c>
      <c r="L112" s="95">
        <f t="shared" si="12"/>
        <v>83333.333333333328</v>
      </c>
      <c r="M112" s="95">
        <v>0</v>
      </c>
      <c r="N112" s="95">
        <f t="shared" si="13"/>
        <v>83333.333333333328</v>
      </c>
    </row>
    <row r="113" spans="1:256" ht="12.75" x14ac:dyDescent="0.2">
      <c r="A113" s="15">
        <v>2</v>
      </c>
      <c r="B113" s="34">
        <v>2</v>
      </c>
      <c r="C113" s="34">
        <v>8</v>
      </c>
      <c r="D113" s="34">
        <v>7</v>
      </c>
      <c r="E113" s="34">
        <v>0.5</v>
      </c>
      <c r="F113" s="35" t="s">
        <v>116</v>
      </c>
      <c r="G113" s="47">
        <f>G114</f>
        <v>0</v>
      </c>
      <c r="H113" s="37">
        <f>VLOOKUP(F113,[1]PPNE6!$F$22:$N$266,9,FALSE)</f>
        <v>0</v>
      </c>
      <c r="I113" s="45">
        <f>I114</f>
        <v>0</v>
      </c>
      <c r="J113" s="39">
        <f t="shared" ref="J113:J144" si="14">SUBTOTAL(9,G113:I113)</f>
        <v>0</v>
      </c>
      <c r="K113" s="46">
        <f>K114</f>
        <v>1.4386151845453987</v>
      </c>
      <c r="L113" s="95">
        <f t="shared" si="12"/>
        <v>0</v>
      </c>
      <c r="M113" s="95"/>
      <c r="N113" s="95">
        <f t="shared" si="13"/>
        <v>0</v>
      </c>
    </row>
    <row r="114" spans="1:256" ht="12.75" x14ac:dyDescent="0.2">
      <c r="A114" s="15">
        <v>2</v>
      </c>
      <c r="B114" s="34">
        <v>2</v>
      </c>
      <c r="C114" s="34">
        <v>8</v>
      </c>
      <c r="D114" s="34">
        <v>7</v>
      </c>
      <c r="E114" s="34">
        <v>0.6</v>
      </c>
      <c r="F114" s="35" t="s">
        <v>117</v>
      </c>
      <c r="G114" s="36"/>
      <c r="H114" s="37">
        <f>VLOOKUP(F114,[1]PPNE6!$F$22:$N$266,9,FALSE)</f>
        <v>8192552.2457142863</v>
      </c>
      <c r="I114" s="38"/>
      <c r="J114" s="39">
        <f t="shared" si="14"/>
        <v>8192552.2457142863</v>
      </c>
      <c r="K114" s="40">
        <f>IFERROR(J114/$J$14*100,"0.00")</f>
        <v>1.4386151845453987</v>
      </c>
      <c r="L114" s="95">
        <f t="shared" si="12"/>
        <v>682712.68714285723</v>
      </c>
      <c r="M114" s="95">
        <v>462764.4</v>
      </c>
      <c r="N114" s="95">
        <f t="shared" si="13"/>
        <v>219948.28714285721</v>
      </c>
    </row>
    <row r="115" spans="1:256" ht="12.75" x14ac:dyDescent="0.2">
      <c r="A115" s="15">
        <v>2</v>
      </c>
      <c r="B115" s="34">
        <v>2</v>
      </c>
      <c r="C115" s="34">
        <v>8</v>
      </c>
      <c r="D115" s="34">
        <v>8</v>
      </c>
      <c r="E115" s="34">
        <v>0.1</v>
      </c>
      <c r="F115" s="65" t="s">
        <v>118</v>
      </c>
      <c r="G115" s="47">
        <f>G116</f>
        <v>0</v>
      </c>
      <c r="H115" s="37">
        <f>VLOOKUP(F115,[1]PPNE6!$F$22:$N$266,9,FALSE)</f>
        <v>8873543.3999999985</v>
      </c>
      <c r="I115" s="45">
        <f>I116</f>
        <v>0</v>
      </c>
      <c r="J115" s="39">
        <f t="shared" si="14"/>
        <v>8873543.3999999985</v>
      </c>
      <c r="K115" s="46">
        <f>K116</f>
        <v>0</v>
      </c>
      <c r="L115" s="95">
        <f t="shared" si="12"/>
        <v>739461.94999999984</v>
      </c>
      <c r="M115" s="95">
        <v>672939.86</v>
      </c>
      <c r="N115" s="95">
        <f t="shared" si="13"/>
        <v>66522.089999999851</v>
      </c>
    </row>
    <row r="116" spans="1:256" ht="12.75" x14ac:dyDescent="0.2">
      <c r="A116" s="15">
        <v>2</v>
      </c>
      <c r="B116" s="34">
        <v>2</v>
      </c>
      <c r="C116" s="34">
        <v>8</v>
      </c>
      <c r="D116" s="34">
        <v>8</v>
      </c>
      <c r="E116" s="34">
        <v>0.2</v>
      </c>
      <c r="F116" s="35" t="s">
        <v>119</v>
      </c>
      <c r="G116" s="36"/>
      <c r="H116" s="37">
        <f>VLOOKUP(F116,[1]PPNE6!$F$22:$N$266,9,FALSE)</f>
        <v>0</v>
      </c>
      <c r="I116" s="38"/>
      <c r="J116" s="39">
        <f t="shared" si="14"/>
        <v>0</v>
      </c>
      <c r="K116" s="40">
        <f>IFERROR(J116/$J$14*100,"0.00")</f>
        <v>0</v>
      </c>
      <c r="L116" s="95">
        <f t="shared" si="12"/>
        <v>0</v>
      </c>
      <c r="M116" s="95">
        <v>900</v>
      </c>
      <c r="N116" s="95">
        <f t="shared" si="13"/>
        <v>-900</v>
      </c>
    </row>
    <row r="117" spans="1:256" ht="12.75" x14ac:dyDescent="0.2">
      <c r="A117" s="15">
        <v>2</v>
      </c>
      <c r="B117" s="34">
        <v>2</v>
      </c>
      <c r="C117" s="34">
        <v>8</v>
      </c>
      <c r="D117" s="34">
        <v>9</v>
      </c>
      <c r="E117" s="34">
        <v>0.4</v>
      </c>
      <c r="F117" s="35" t="s">
        <v>120</v>
      </c>
      <c r="G117" s="47">
        <f>G118</f>
        <v>0</v>
      </c>
      <c r="H117" s="37">
        <f>VLOOKUP(F117,[1]PPNE6!$F$22:$N$266,9,FALSE)</f>
        <v>0</v>
      </c>
      <c r="I117" s="45">
        <f>I118</f>
        <v>0</v>
      </c>
      <c r="J117" s="39">
        <f t="shared" si="14"/>
        <v>0</v>
      </c>
      <c r="K117" s="46">
        <f>K118</f>
        <v>21.165433607039269</v>
      </c>
      <c r="L117" s="95">
        <f t="shared" si="12"/>
        <v>0</v>
      </c>
      <c r="M117" s="95"/>
      <c r="N117" s="95">
        <f t="shared" si="13"/>
        <v>0</v>
      </c>
    </row>
    <row r="118" spans="1:256" ht="12.75" x14ac:dyDescent="0.2">
      <c r="A118" s="15">
        <v>2</v>
      </c>
      <c r="B118" s="16">
        <v>3</v>
      </c>
      <c r="C118" s="17"/>
      <c r="D118" s="17"/>
      <c r="E118" s="18"/>
      <c r="F118" s="94" t="s">
        <v>121</v>
      </c>
      <c r="G118" s="19"/>
      <c r="H118" s="20">
        <f>VLOOKUP(F118,[1]PPNE6!$F$22:$N$266,9,FALSE)</f>
        <v>120531829.84</v>
      </c>
      <c r="I118" s="21"/>
      <c r="J118" s="22">
        <f t="shared" si="14"/>
        <v>120531829.84</v>
      </c>
      <c r="K118" s="14">
        <f>IFERROR(J118/$J$14*100,"0.00")</f>
        <v>21.165433607039269</v>
      </c>
      <c r="L118" s="93">
        <f>L119+L127+L133+L141+L145+L152+L172+L186</f>
        <v>9945501.8190476187</v>
      </c>
      <c r="M118" s="93">
        <f>M119+M127+M133+M141+M145+M152+M172+M186</f>
        <v>10678505.75</v>
      </c>
      <c r="N118" s="93">
        <f t="shared" si="13"/>
        <v>-733003.93095238134</v>
      </c>
      <c r="O118" s="106"/>
    </row>
    <row r="119" spans="1:256" s="96" customFormat="1" ht="12.75" x14ac:dyDescent="0.2">
      <c r="A119" s="15">
        <v>2</v>
      </c>
      <c r="B119" s="23">
        <v>3</v>
      </c>
      <c r="C119" s="24">
        <v>1</v>
      </c>
      <c r="D119" s="24"/>
      <c r="E119" s="25"/>
      <c r="F119" s="102" t="s">
        <v>122</v>
      </c>
      <c r="G119" s="26">
        <f>G120</f>
        <v>0</v>
      </c>
      <c r="H119" s="27">
        <f>VLOOKUP(F119,[1]PPNE6!$F$22:$N$266,9,FALSE)</f>
        <v>17883777.445714291</v>
      </c>
      <c r="I119" s="28">
        <f>I120</f>
        <v>0</v>
      </c>
      <c r="J119" s="29">
        <f t="shared" si="14"/>
        <v>17883777.445714291</v>
      </c>
      <c r="K119" s="30">
        <f>K120</f>
        <v>3.0148386708616206</v>
      </c>
      <c r="L119" s="99">
        <f>L120</f>
        <v>1430729.1014285716</v>
      </c>
      <c r="M119" s="99">
        <f>M120</f>
        <v>1778302.79</v>
      </c>
      <c r="N119" s="99">
        <f t="shared" si="13"/>
        <v>-347573.68857142841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s="96" customFormat="1" ht="12.75" x14ac:dyDescent="0.2">
      <c r="A120" s="15">
        <v>2</v>
      </c>
      <c r="B120" s="31">
        <v>3</v>
      </c>
      <c r="C120" s="31">
        <v>1</v>
      </c>
      <c r="D120" s="31">
        <v>1</v>
      </c>
      <c r="E120" s="31"/>
      <c r="F120" s="32" t="s">
        <v>123</v>
      </c>
      <c r="G120" s="51"/>
      <c r="H120" s="48">
        <f>VLOOKUP(F120,[1]PPNE6!$F$22:$N$266,9,FALSE)</f>
        <v>17168749.217142861</v>
      </c>
      <c r="I120" s="52"/>
      <c r="J120" s="33">
        <f t="shared" si="14"/>
        <v>17168749.217142861</v>
      </c>
      <c r="K120" s="53">
        <f>IFERROR(J120/$J$14*100,"0.00")</f>
        <v>3.0148386708616206</v>
      </c>
      <c r="L120" s="97">
        <f>SUM(L121:L126)</f>
        <v>1430729.1014285716</v>
      </c>
      <c r="M120" s="97">
        <f>SUM(M121:M126)</f>
        <v>1778302.79</v>
      </c>
      <c r="N120" s="97">
        <f t="shared" si="13"/>
        <v>-347573.68857142841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ht="12.75" x14ac:dyDescent="0.2">
      <c r="A121" s="15">
        <v>2</v>
      </c>
      <c r="B121" s="34">
        <v>3</v>
      </c>
      <c r="C121" s="34">
        <v>1</v>
      </c>
      <c r="D121" s="34">
        <v>1</v>
      </c>
      <c r="E121" s="34">
        <v>0.1</v>
      </c>
      <c r="F121" s="35" t="s">
        <v>124</v>
      </c>
      <c r="G121" s="36">
        <f>+G122+G124+G126+G132+G134+G136+G138+G140</f>
        <v>0</v>
      </c>
      <c r="H121" s="37">
        <f>VLOOKUP(F121,[1]PPNE6!$F$22:$N$266,9,FALSE)</f>
        <v>17037706.09714286</v>
      </c>
      <c r="I121" s="38">
        <f>+I122+I124+I126+I132+I134+I136+I138+I140</f>
        <v>0</v>
      </c>
      <c r="J121" s="39">
        <f t="shared" si="14"/>
        <v>17037706.09714286</v>
      </c>
      <c r="K121" s="30">
        <f>+K122+K124+K126+K132+K134+K136+K138+K140</f>
        <v>5.5241948655715225</v>
      </c>
      <c r="L121" s="95">
        <f t="shared" ref="L121:L126" si="15">J121/12</f>
        <v>1419808.8414285716</v>
      </c>
      <c r="M121" s="95">
        <v>1776352.79</v>
      </c>
      <c r="N121" s="95">
        <f t="shared" si="13"/>
        <v>-356543.94857142842</v>
      </c>
    </row>
    <row r="122" spans="1:256" ht="12.75" x14ac:dyDescent="0.2">
      <c r="A122" s="15">
        <v>2</v>
      </c>
      <c r="B122" s="34">
        <v>3</v>
      </c>
      <c r="C122" s="34">
        <v>1</v>
      </c>
      <c r="D122" s="34">
        <v>2</v>
      </c>
      <c r="E122" s="34">
        <v>0.1</v>
      </c>
      <c r="F122" s="35" t="s">
        <v>125</v>
      </c>
      <c r="G122" s="47">
        <f>G123</f>
        <v>0</v>
      </c>
      <c r="H122" s="37">
        <f>VLOOKUP(F122,[1]PPNE6!$F$22:$N$266,9,FALSE)</f>
        <v>0</v>
      </c>
      <c r="I122" s="45">
        <f>I123</f>
        <v>0</v>
      </c>
      <c r="J122" s="39">
        <f t="shared" si="14"/>
        <v>0</v>
      </c>
      <c r="K122" s="46">
        <f>K123</f>
        <v>0</v>
      </c>
      <c r="L122" s="95">
        <f t="shared" si="15"/>
        <v>0</v>
      </c>
      <c r="M122" s="95"/>
      <c r="N122" s="95">
        <f t="shared" si="13"/>
        <v>0</v>
      </c>
    </row>
    <row r="123" spans="1:256" ht="12.75" x14ac:dyDescent="0.2">
      <c r="A123" s="15">
        <v>2</v>
      </c>
      <c r="B123" s="34">
        <v>3</v>
      </c>
      <c r="C123" s="34">
        <v>1</v>
      </c>
      <c r="D123" s="34">
        <v>3</v>
      </c>
      <c r="E123" s="34">
        <v>0.1</v>
      </c>
      <c r="F123" s="35" t="s">
        <v>126</v>
      </c>
      <c r="G123" s="36"/>
      <c r="H123" s="37">
        <f>VLOOKUP(F123,[1]PPNE6!$F$22:$N$266,9,FALSE)</f>
        <v>0</v>
      </c>
      <c r="I123" s="38"/>
      <c r="J123" s="39">
        <f t="shared" si="14"/>
        <v>0</v>
      </c>
      <c r="K123" s="40">
        <f>IFERROR(J123/$J$14*100,"0.00")</f>
        <v>0</v>
      </c>
      <c r="L123" s="95">
        <f t="shared" si="15"/>
        <v>0</v>
      </c>
      <c r="M123" s="95"/>
      <c r="N123" s="95">
        <f t="shared" si="13"/>
        <v>0</v>
      </c>
    </row>
    <row r="124" spans="1:256" ht="12.75" x14ac:dyDescent="0.2">
      <c r="A124" s="15">
        <v>2</v>
      </c>
      <c r="B124" s="34">
        <v>3</v>
      </c>
      <c r="C124" s="34">
        <v>1</v>
      </c>
      <c r="D124" s="34">
        <v>3</v>
      </c>
      <c r="E124" s="34">
        <v>0.2</v>
      </c>
      <c r="F124" s="35" t="s">
        <v>127</v>
      </c>
      <c r="G124" s="47">
        <f>G125</f>
        <v>0</v>
      </c>
      <c r="H124" s="37">
        <f>VLOOKUP(F124,[1]PPNE6!$F$22:$N$266,9,FALSE)</f>
        <v>0</v>
      </c>
      <c r="I124" s="45">
        <f>I125</f>
        <v>0</v>
      </c>
      <c r="J124" s="39">
        <f t="shared" si="14"/>
        <v>0</v>
      </c>
      <c r="K124" s="46">
        <f>K125</f>
        <v>2.3011220021309512E-2</v>
      </c>
      <c r="L124" s="95">
        <f t="shared" si="15"/>
        <v>0</v>
      </c>
      <c r="M124" s="95"/>
      <c r="N124" s="95">
        <f t="shared" si="13"/>
        <v>0</v>
      </c>
    </row>
    <row r="125" spans="1:256" ht="12.75" x14ac:dyDescent="0.2">
      <c r="A125" s="15">
        <v>2</v>
      </c>
      <c r="B125" s="34">
        <v>3</v>
      </c>
      <c r="C125" s="34">
        <v>1</v>
      </c>
      <c r="D125" s="34">
        <v>3</v>
      </c>
      <c r="E125" s="34">
        <v>0.3</v>
      </c>
      <c r="F125" s="35" t="s">
        <v>128</v>
      </c>
      <c r="G125" s="36"/>
      <c r="H125" s="37">
        <f>VLOOKUP(F125,[1]PPNE6!$F$22:$N$266,9,FALSE)</f>
        <v>131043.12</v>
      </c>
      <c r="I125" s="38"/>
      <c r="J125" s="39">
        <f t="shared" si="14"/>
        <v>131043.12</v>
      </c>
      <c r="K125" s="40">
        <f>IFERROR(J125/$J$14*100,"0.00")</f>
        <v>2.3011220021309512E-2</v>
      </c>
      <c r="L125" s="95">
        <f t="shared" si="15"/>
        <v>10920.26</v>
      </c>
      <c r="M125" s="95">
        <v>1950</v>
      </c>
      <c r="N125" s="95">
        <f t="shared" si="13"/>
        <v>8970.26</v>
      </c>
    </row>
    <row r="126" spans="1:256" ht="12.75" x14ac:dyDescent="0.2">
      <c r="A126" s="15">
        <v>2</v>
      </c>
      <c r="B126" s="34">
        <v>3</v>
      </c>
      <c r="C126" s="34">
        <v>1</v>
      </c>
      <c r="D126" s="34">
        <v>4</v>
      </c>
      <c r="E126" s="34">
        <v>0.1</v>
      </c>
      <c r="F126" s="35" t="s">
        <v>129</v>
      </c>
      <c r="G126" s="47">
        <f>SUM(G127:G131)</f>
        <v>0</v>
      </c>
      <c r="H126" s="37">
        <f>VLOOKUP(F126,[1]PPNE6!$F$22:$N$266,9,FALSE)</f>
        <v>0</v>
      </c>
      <c r="I126" s="45">
        <f>SUM(I127:I131)</f>
        <v>0</v>
      </c>
      <c r="J126" s="39">
        <f t="shared" si="14"/>
        <v>0</v>
      </c>
      <c r="K126" s="46">
        <f>SUM(K127:K131)</f>
        <v>0.3766776589821198</v>
      </c>
      <c r="L126" s="95">
        <f t="shared" si="15"/>
        <v>0</v>
      </c>
      <c r="M126" s="95"/>
      <c r="N126" s="95">
        <f t="shared" si="13"/>
        <v>0</v>
      </c>
    </row>
    <row r="127" spans="1:256" s="96" customFormat="1" ht="12.75" x14ac:dyDescent="0.2">
      <c r="A127" s="15">
        <v>2</v>
      </c>
      <c r="B127" s="31">
        <v>3</v>
      </c>
      <c r="C127" s="31">
        <v>2</v>
      </c>
      <c r="D127" s="31"/>
      <c r="E127" s="31"/>
      <c r="F127" s="32" t="s">
        <v>130</v>
      </c>
      <c r="G127" s="51"/>
      <c r="H127" s="48">
        <f>VLOOKUP(F127,[1]PPNE6!$F$22:$N$266,9,FALSE)</f>
        <v>715028.22857142857</v>
      </c>
      <c r="I127" s="52"/>
      <c r="J127" s="43">
        <f t="shared" si="14"/>
        <v>715028.22857142857</v>
      </c>
      <c r="K127" s="62">
        <f>IFERROR(J127/$J$14*100,"0.00")</f>
        <v>0.1255592196607066</v>
      </c>
      <c r="L127" s="99">
        <f>L128</f>
        <v>59585.685714285712</v>
      </c>
      <c r="M127" s="99">
        <f>M128</f>
        <v>0</v>
      </c>
      <c r="N127" s="99">
        <f t="shared" si="13"/>
        <v>59585.685714285712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s="96" customFormat="1" ht="12.75" x14ac:dyDescent="0.2">
      <c r="A128" s="15">
        <v>2</v>
      </c>
      <c r="B128" s="31">
        <v>3</v>
      </c>
      <c r="C128" s="31">
        <v>2</v>
      </c>
      <c r="D128" s="31">
        <v>1</v>
      </c>
      <c r="E128" s="31"/>
      <c r="F128" s="32" t="s">
        <v>131</v>
      </c>
      <c r="G128" s="51"/>
      <c r="H128" s="48">
        <f>VLOOKUP(F128,[1]PPNE6!$F$22:$N$266,9,FALSE)</f>
        <v>715028.22857142857</v>
      </c>
      <c r="I128" s="52"/>
      <c r="J128" s="33">
        <f t="shared" si="14"/>
        <v>715028.22857142857</v>
      </c>
      <c r="K128" s="53">
        <f>IFERROR(J128/$J$14*100,"0.00")</f>
        <v>0.1255592196607066</v>
      </c>
      <c r="L128" s="97">
        <f>SUM(L129:L132)</f>
        <v>59585.685714285712</v>
      </c>
      <c r="M128" s="97">
        <f>SUM(M129:M132)</f>
        <v>0</v>
      </c>
      <c r="N128" s="97">
        <f t="shared" si="13"/>
        <v>59585.685714285712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ht="12.75" x14ac:dyDescent="0.2">
      <c r="A129" s="15">
        <v>2</v>
      </c>
      <c r="B129" s="34">
        <v>3</v>
      </c>
      <c r="C129" s="34">
        <v>2</v>
      </c>
      <c r="D129" s="34">
        <v>1</v>
      </c>
      <c r="E129" s="34">
        <v>0.1</v>
      </c>
      <c r="F129" s="35" t="s">
        <v>132</v>
      </c>
      <c r="G129" s="36"/>
      <c r="H129" s="37">
        <f>VLOOKUP(F129,[1]PPNE6!$F$22:$N$266,9,FALSE)</f>
        <v>0</v>
      </c>
      <c r="I129" s="38"/>
      <c r="J129" s="39">
        <f t="shared" si="14"/>
        <v>0</v>
      </c>
      <c r="K129" s="40">
        <f>IFERROR(J129/$J$14*100,"0.00")</f>
        <v>0</v>
      </c>
      <c r="L129" s="95">
        <f>J129/12</f>
        <v>0</v>
      </c>
      <c r="M129" s="95"/>
      <c r="N129" s="95">
        <f t="shared" si="13"/>
        <v>0</v>
      </c>
    </row>
    <row r="130" spans="1:256" ht="12.75" x14ac:dyDescent="0.2">
      <c r="A130" s="15">
        <v>2</v>
      </c>
      <c r="B130" s="34">
        <v>3</v>
      </c>
      <c r="C130" s="34">
        <v>2</v>
      </c>
      <c r="D130" s="34">
        <v>2</v>
      </c>
      <c r="E130" s="34">
        <v>0.1</v>
      </c>
      <c r="F130" s="35" t="s">
        <v>133</v>
      </c>
      <c r="G130" s="36"/>
      <c r="H130" s="37">
        <f>VLOOKUP(F130,[1]PPNE6!$F$22:$N$266,9,FALSE)</f>
        <v>36612</v>
      </c>
      <c r="I130" s="38"/>
      <c r="J130" s="39">
        <f t="shared" si="14"/>
        <v>36612</v>
      </c>
      <c r="K130" s="40">
        <f>IFERROR(J130/$J$14*100,"0.00")</f>
        <v>6.4290806523851374E-3</v>
      </c>
      <c r="L130" s="95">
        <f>J130/12</f>
        <v>3051</v>
      </c>
      <c r="M130" s="95">
        <v>0</v>
      </c>
      <c r="N130" s="95">
        <f t="shared" si="13"/>
        <v>3051</v>
      </c>
    </row>
    <row r="131" spans="1:256" ht="12.75" x14ac:dyDescent="0.2">
      <c r="A131" s="15">
        <v>2</v>
      </c>
      <c r="B131" s="34">
        <v>3</v>
      </c>
      <c r="C131" s="34">
        <v>2</v>
      </c>
      <c r="D131" s="34">
        <v>3</v>
      </c>
      <c r="E131" s="34">
        <v>0.1</v>
      </c>
      <c r="F131" s="35" t="s">
        <v>134</v>
      </c>
      <c r="G131" s="36"/>
      <c r="H131" s="37">
        <f>VLOOKUP(F131,[1]PPNE6!$F$22:$N$266,9,FALSE)</f>
        <v>678416.22857142857</v>
      </c>
      <c r="I131" s="38"/>
      <c r="J131" s="39">
        <f t="shared" si="14"/>
        <v>678416.22857142857</v>
      </c>
      <c r="K131" s="40">
        <f>IFERROR(J131/$J$14*100,"0.00")</f>
        <v>0.11913013900832145</v>
      </c>
      <c r="L131" s="95">
        <f>J131/12</f>
        <v>56534.685714285712</v>
      </c>
      <c r="M131" s="95">
        <v>0</v>
      </c>
      <c r="N131" s="95">
        <f t="shared" si="13"/>
        <v>56534.685714285712</v>
      </c>
    </row>
    <row r="132" spans="1:256" ht="12.75" x14ac:dyDescent="0.2">
      <c r="A132" s="15">
        <v>2</v>
      </c>
      <c r="B132" s="34">
        <v>3</v>
      </c>
      <c r="C132" s="34">
        <v>2</v>
      </c>
      <c r="D132" s="34">
        <v>4</v>
      </c>
      <c r="E132" s="34">
        <v>0.1</v>
      </c>
      <c r="F132" s="35" t="s">
        <v>135</v>
      </c>
      <c r="G132" s="47">
        <f>G133</f>
        <v>0</v>
      </c>
      <c r="H132" s="37">
        <f>VLOOKUP(F132,[1]PPNE6!$F$22:$N$266,9,FALSE)</f>
        <v>0</v>
      </c>
      <c r="I132" s="45">
        <f>I133</f>
        <v>0</v>
      </c>
      <c r="J132" s="39">
        <f t="shared" si="14"/>
        <v>0</v>
      </c>
      <c r="K132" s="46">
        <f>K133</f>
        <v>0.60837970578813938</v>
      </c>
      <c r="L132" s="95">
        <f>J132/12</f>
        <v>0</v>
      </c>
      <c r="M132" s="95"/>
      <c r="N132" s="95">
        <f t="shared" si="13"/>
        <v>0</v>
      </c>
    </row>
    <row r="133" spans="1:256" s="96" customFormat="1" ht="12.75" x14ac:dyDescent="0.2">
      <c r="A133" s="15">
        <v>2</v>
      </c>
      <c r="B133" s="31">
        <v>3</v>
      </c>
      <c r="C133" s="31">
        <v>3</v>
      </c>
      <c r="D133" s="31"/>
      <c r="E133" s="31"/>
      <c r="F133" s="32" t="s">
        <v>136</v>
      </c>
      <c r="G133" s="51"/>
      <c r="H133" s="48">
        <f>VLOOKUP(F133,[1]PPNE6!$F$22:$N$266,9,FALSE)</f>
        <v>3464569.6628571427</v>
      </c>
      <c r="I133" s="52"/>
      <c r="J133" s="43">
        <f t="shared" si="14"/>
        <v>3464569.6628571427</v>
      </c>
      <c r="K133" s="62">
        <f>IFERROR(J133/$J$14*100,"0.00")</f>
        <v>0.60837970578813938</v>
      </c>
      <c r="L133" s="99">
        <f>L134</f>
        <v>288714.13857142854</v>
      </c>
      <c r="M133" s="99">
        <f>M134</f>
        <v>261634.99</v>
      </c>
      <c r="N133" s="99">
        <f t="shared" si="13"/>
        <v>27079.148571428552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s="96" customFormat="1" ht="12.75" x14ac:dyDescent="0.2">
      <c r="A134" s="15">
        <v>2</v>
      </c>
      <c r="B134" s="31">
        <v>3</v>
      </c>
      <c r="C134" s="31">
        <v>3</v>
      </c>
      <c r="D134" s="31">
        <v>1</v>
      </c>
      <c r="E134" s="31"/>
      <c r="F134" s="32" t="s">
        <v>137</v>
      </c>
      <c r="G134" s="66">
        <f>+G135</f>
        <v>0</v>
      </c>
      <c r="H134" s="48">
        <f>VLOOKUP(F134,[1]PPNE6!$F$22:$N$266,9,FALSE)</f>
        <v>3464569.6628571427</v>
      </c>
      <c r="I134" s="67">
        <f>+I135</f>
        <v>0</v>
      </c>
      <c r="J134" s="33">
        <f t="shared" si="14"/>
        <v>3464569.6628571427</v>
      </c>
      <c r="K134" s="68">
        <f>+K135</f>
        <v>4.2808649279137724E-2</v>
      </c>
      <c r="L134" s="97">
        <f>SUM(L135:L140)</f>
        <v>288714.13857142854</v>
      </c>
      <c r="M134" s="97">
        <f>SUM(M135:M140)</f>
        <v>261634.99</v>
      </c>
      <c r="N134" s="97">
        <f t="shared" si="13"/>
        <v>27079.148571428552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ht="12.75" x14ac:dyDescent="0.2">
      <c r="A135" s="15">
        <v>2</v>
      </c>
      <c r="B135" s="34">
        <v>3</v>
      </c>
      <c r="C135" s="34">
        <v>3</v>
      </c>
      <c r="D135" s="34">
        <v>1</v>
      </c>
      <c r="E135" s="34">
        <v>0.1</v>
      </c>
      <c r="F135" s="35" t="s">
        <v>138</v>
      </c>
      <c r="G135" s="36"/>
      <c r="H135" s="37">
        <f>VLOOKUP(F135,[1]PPNE6!$F$22:$N$266,9,FALSE)</f>
        <v>243784.50857142857</v>
      </c>
      <c r="I135" s="38"/>
      <c r="J135" s="39">
        <f t="shared" si="14"/>
        <v>243784.50857142857</v>
      </c>
      <c r="K135" s="40">
        <f>IFERROR(J135/$J$14*100,"0.00")</f>
        <v>4.2808649279137724E-2</v>
      </c>
      <c r="L135" s="95">
        <f t="shared" ref="L135:L140" si="16">J135/12</f>
        <v>20315.375714285714</v>
      </c>
      <c r="M135" s="95">
        <v>81275.45</v>
      </c>
      <c r="N135" s="95">
        <f t="shared" si="13"/>
        <v>-60960.074285714283</v>
      </c>
    </row>
    <row r="136" spans="1:256" ht="12.75" x14ac:dyDescent="0.2">
      <c r="A136" s="15">
        <v>2</v>
      </c>
      <c r="B136" s="34">
        <v>3</v>
      </c>
      <c r="C136" s="34">
        <v>3</v>
      </c>
      <c r="D136" s="34">
        <v>2</v>
      </c>
      <c r="E136" s="34">
        <v>0.1</v>
      </c>
      <c r="F136" s="35" t="s">
        <v>139</v>
      </c>
      <c r="G136" s="47">
        <f>G137</f>
        <v>0</v>
      </c>
      <c r="H136" s="37">
        <f>VLOOKUP(F136,[1]PPNE6!$F$22:$N$266,9,FALSE)</f>
        <v>2567933.8457142855</v>
      </c>
      <c r="I136" s="45">
        <f>I137</f>
        <v>0</v>
      </c>
      <c r="J136" s="39">
        <f t="shared" si="14"/>
        <v>2567933.8457142855</v>
      </c>
      <c r="K136" s="46">
        <f>K137</f>
        <v>0.11464092966297637</v>
      </c>
      <c r="L136" s="95">
        <f t="shared" si="16"/>
        <v>213994.48714285714</v>
      </c>
      <c r="M136" s="95">
        <v>180359.54</v>
      </c>
      <c r="N136" s="95">
        <f t="shared" si="13"/>
        <v>33634.947142857127</v>
      </c>
    </row>
    <row r="137" spans="1:256" ht="12.75" x14ac:dyDescent="0.2">
      <c r="A137" s="15">
        <v>2</v>
      </c>
      <c r="B137" s="34">
        <v>3</v>
      </c>
      <c r="C137" s="34">
        <v>3</v>
      </c>
      <c r="D137" s="34">
        <v>3</v>
      </c>
      <c r="E137" s="34">
        <v>0.1</v>
      </c>
      <c r="F137" s="35" t="s">
        <v>140</v>
      </c>
      <c r="G137" s="36"/>
      <c r="H137" s="37">
        <f>VLOOKUP(F137,[1]PPNE6!$F$2:$N$2166,9,FALSE)</f>
        <v>652851.30857142853</v>
      </c>
      <c r="I137" s="38"/>
      <c r="J137" s="39">
        <f t="shared" si="14"/>
        <v>652851.30857142853</v>
      </c>
      <c r="K137" s="40">
        <f>IFERROR(J137/$J$14*100,"0.00")</f>
        <v>0.11464092966297637</v>
      </c>
      <c r="L137" s="95">
        <f t="shared" si="16"/>
        <v>54404.275714285708</v>
      </c>
      <c r="M137" s="95">
        <v>0</v>
      </c>
      <c r="N137" s="95">
        <f t="shared" si="13"/>
        <v>54404.275714285708</v>
      </c>
    </row>
    <row r="138" spans="1:256" ht="12.75" x14ac:dyDescent="0.2">
      <c r="A138" s="15">
        <v>2</v>
      </c>
      <c r="B138" s="34">
        <v>3</v>
      </c>
      <c r="C138" s="34">
        <v>3</v>
      </c>
      <c r="D138" s="34">
        <v>4</v>
      </c>
      <c r="E138" s="34">
        <v>0.1</v>
      </c>
      <c r="F138" s="35" t="s">
        <v>141</v>
      </c>
      <c r="G138" s="69">
        <f>+G139</f>
        <v>0</v>
      </c>
      <c r="H138" s="37">
        <f>VLOOKUP(F138,[1]PPNE6!$F$22:$N$266,9,FALSE)</f>
        <v>0</v>
      </c>
      <c r="I138" s="70">
        <f>+I139</f>
        <v>0</v>
      </c>
      <c r="J138" s="39">
        <f t="shared" si="14"/>
        <v>0</v>
      </c>
      <c r="K138" s="71">
        <f>+K139</f>
        <v>0</v>
      </c>
      <c r="L138" s="95">
        <f t="shared" si="16"/>
        <v>0</v>
      </c>
      <c r="M138" s="95"/>
      <c r="N138" s="95">
        <f t="shared" si="13"/>
        <v>0</v>
      </c>
    </row>
    <row r="139" spans="1:256" ht="12.75" x14ac:dyDescent="0.2">
      <c r="A139" s="15">
        <v>2</v>
      </c>
      <c r="B139" s="34">
        <v>3</v>
      </c>
      <c r="C139" s="34">
        <v>3</v>
      </c>
      <c r="D139" s="34">
        <v>5</v>
      </c>
      <c r="E139" s="34">
        <v>0.1</v>
      </c>
      <c r="F139" s="35" t="s">
        <v>142</v>
      </c>
      <c r="G139" s="36"/>
      <c r="H139" s="37">
        <f>VLOOKUP(F139,[1]PPNE6!$F$22:$N$266,9,FALSE)</f>
        <v>0</v>
      </c>
      <c r="I139" s="38"/>
      <c r="J139" s="39">
        <f t="shared" si="14"/>
        <v>0</v>
      </c>
      <c r="K139" s="40">
        <f>IFERROR(J139/$J$14*100,"0.00")</f>
        <v>0</v>
      </c>
      <c r="L139" s="95">
        <f t="shared" si="16"/>
        <v>0</v>
      </c>
      <c r="M139" s="95"/>
      <c r="N139" s="95">
        <f t="shared" si="13"/>
        <v>0</v>
      </c>
    </row>
    <row r="140" spans="1:256" ht="12.75" x14ac:dyDescent="0.2">
      <c r="A140" s="15">
        <v>2</v>
      </c>
      <c r="B140" s="34">
        <v>3</v>
      </c>
      <c r="C140" s="34">
        <v>3</v>
      </c>
      <c r="D140" s="34">
        <v>6</v>
      </c>
      <c r="E140" s="34">
        <v>0.1</v>
      </c>
      <c r="F140" s="35" t="s">
        <v>143</v>
      </c>
      <c r="G140" s="47">
        <f>G141</f>
        <v>0</v>
      </c>
      <c r="H140" s="37">
        <f>VLOOKUP(F140,[1]PPNE6!$F$22:$N$266,9,FALSE)</f>
        <v>0</v>
      </c>
      <c r="I140" s="45">
        <f>I141</f>
        <v>0</v>
      </c>
      <c r="J140" s="39">
        <f t="shared" si="14"/>
        <v>0</v>
      </c>
      <c r="K140" s="46">
        <f>K141</f>
        <v>4.3586767018378394</v>
      </c>
      <c r="L140" s="95">
        <f t="shared" si="16"/>
        <v>0</v>
      </c>
      <c r="M140" s="95"/>
      <c r="N140" s="95">
        <f t="shared" si="13"/>
        <v>0</v>
      </c>
    </row>
    <row r="141" spans="1:256" s="96" customFormat="1" ht="12.75" x14ac:dyDescent="0.2">
      <c r="A141" s="15">
        <v>2</v>
      </c>
      <c r="B141" s="31">
        <v>3</v>
      </c>
      <c r="C141" s="31">
        <v>4</v>
      </c>
      <c r="D141" s="31"/>
      <c r="E141" s="31"/>
      <c r="F141" s="32" t="s">
        <v>144</v>
      </c>
      <c r="G141" s="51"/>
      <c r="H141" s="48">
        <f>VLOOKUP(F141,[1]PPNE6!$F$22:$N$266,9,FALSE)</f>
        <v>24821569.371428572</v>
      </c>
      <c r="I141" s="52"/>
      <c r="J141" s="43">
        <f t="shared" si="14"/>
        <v>24821569.371428572</v>
      </c>
      <c r="K141" s="62">
        <f>IFERROR(J141/$J$14*100,"0.00")</f>
        <v>4.3586767018378394</v>
      </c>
      <c r="L141" s="99">
        <f>L142</f>
        <v>2068464.1142857142</v>
      </c>
      <c r="M141" s="99">
        <f>M142</f>
        <v>2352714</v>
      </c>
      <c r="N141" s="99">
        <f t="shared" si="13"/>
        <v>-284249.88571428577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1:256" ht="12.75" x14ac:dyDescent="0.2">
      <c r="A142" s="15">
        <v>2</v>
      </c>
      <c r="B142" s="72">
        <v>3</v>
      </c>
      <c r="C142" s="73">
        <v>4</v>
      </c>
      <c r="D142" s="73">
        <v>1</v>
      </c>
      <c r="E142" s="73"/>
      <c r="F142" s="94" t="s">
        <v>145</v>
      </c>
      <c r="G142" s="26">
        <f>+G143+G145+G147+G149+G151+G153+G155+G157+G159</f>
        <v>0</v>
      </c>
      <c r="H142" s="37">
        <f>VLOOKUP(F142,[1]PPNE6!$F$22:$N$266,9,FALSE)</f>
        <v>0</v>
      </c>
      <c r="I142" s="28">
        <f>+I143+I145+I147+I149+I151+I153+I155+I157+I159</f>
        <v>0</v>
      </c>
      <c r="J142" s="93">
        <f t="shared" si="14"/>
        <v>0</v>
      </c>
      <c r="K142" s="30">
        <f>+K143+K145+K147+K149+K151+K153+K155+K157+K159</f>
        <v>0.53597314898666881</v>
      </c>
      <c r="L142" s="93">
        <f>SUM(L143:L144)</f>
        <v>2068464.1142857142</v>
      </c>
      <c r="M142" s="93">
        <f>SUM(M143:M144)</f>
        <v>2352714</v>
      </c>
      <c r="N142" s="93">
        <f t="shared" ref="N142:N173" si="17">L142-M142</f>
        <v>-284249.88571428577</v>
      </c>
    </row>
    <row r="143" spans="1:256" ht="12.75" x14ac:dyDescent="0.2">
      <c r="A143" s="15">
        <v>2</v>
      </c>
      <c r="B143" s="34">
        <v>3</v>
      </c>
      <c r="C143" s="34">
        <v>4</v>
      </c>
      <c r="D143" s="34">
        <v>1</v>
      </c>
      <c r="E143" s="34">
        <v>0.1</v>
      </c>
      <c r="F143" s="35" t="s">
        <v>145</v>
      </c>
      <c r="G143" s="47">
        <f>G144</f>
        <v>0</v>
      </c>
      <c r="H143" s="37">
        <f>+[1]PPNE6!N148</f>
        <v>24821569.371428572</v>
      </c>
      <c r="I143" s="45">
        <f>I144</f>
        <v>0</v>
      </c>
      <c r="J143" s="39">
        <f t="shared" si="14"/>
        <v>24821569.371428572</v>
      </c>
      <c r="K143" s="46">
        <f>K144</f>
        <v>0</v>
      </c>
      <c r="L143" s="95">
        <f>J143/12</f>
        <v>2068464.1142857142</v>
      </c>
      <c r="M143" s="95">
        <v>2352714</v>
      </c>
      <c r="N143" s="95">
        <f t="shared" si="17"/>
        <v>-284249.88571428577</v>
      </c>
    </row>
    <row r="144" spans="1:256" ht="12.75" x14ac:dyDescent="0.2">
      <c r="A144" s="15">
        <v>2</v>
      </c>
      <c r="B144" s="34">
        <v>3</v>
      </c>
      <c r="C144" s="34">
        <v>4</v>
      </c>
      <c r="D144" s="34">
        <v>2</v>
      </c>
      <c r="E144" s="34">
        <v>0.1</v>
      </c>
      <c r="F144" s="35" t="s">
        <v>146</v>
      </c>
      <c r="G144" s="36"/>
      <c r="H144" s="37">
        <f>VLOOKUP(F144,[1]PPNE6!$F$2:$N$2166,9,FALSE)</f>
        <v>0</v>
      </c>
      <c r="I144" s="38"/>
      <c r="J144" s="39">
        <f t="shared" si="14"/>
        <v>0</v>
      </c>
      <c r="K144" s="40">
        <f>IFERROR(J144/$J$14*100,"0.00")</f>
        <v>0</v>
      </c>
      <c r="L144" s="95">
        <f>J144/12</f>
        <v>0</v>
      </c>
      <c r="M144" s="95"/>
      <c r="N144" s="95">
        <f t="shared" si="17"/>
        <v>0</v>
      </c>
    </row>
    <row r="145" spans="1:256" s="96" customFormat="1" ht="12.75" x14ac:dyDescent="0.2">
      <c r="A145" s="15">
        <v>2</v>
      </c>
      <c r="B145" s="31">
        <v>3</v>
      </c>
      <c r="C145" s="31">
        <v>5</v>
      </c>
      <c r="D145" s="31"/>
      <c r="E145" s="31"/>
      <c r="F145" s="32" t="s">
        <v>147</v>
      </c>
      <c r="G145" s="26">
        <f>G146</f>
        <v>0</v>
      </c>
      <c r="H145" s="48">
        <f>VLOOKUP(F145,[1]PPNE6!$F$22:$N$266,9,FALSE)</f>
        <v>2268082.8342857137</v>
      </c>
      <c r="I145" s="28">
        <f>I146</f>
        <v>0</v>
      </c>
      <c r="J145" s="43">
        <f t="shared" ref="J145:J176" si="18">SUBTOTAL(9,G145:I145)</f>
        <v>2268082.8342857137</v>
      </c>
      <c r="K145" s="30">
        <f>K146</f>
        <v>0.39827617906459989</v>
      </c>
      <c r="L145" s="99">
        <f>L146+L148+L149+L150+L151</f>
        <v>189006.90285714285</v>
      </c>
      <c r="M145" s="99">
        <f>M146+M148+M149+M150+M151</f>
        <v>1162.9000000000001</v>
      </c>
      <c r="N145" s="99">
        <f t="shared" si="17"/>
        <v>187844.00285714286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1:256" s="96" customFormat="1" ht="12.75" x14ac:dyDescent="0.2">
      <c r="A146" s="15">
        <v>2</v>
      </c>
      <c r="B146" s="31">
        <v>3</v>
      </c>
      <c r="C146" s="31">
        <v>5</v>
      </c>
      <c r="D146" s="31">
        <v>1</v>
      </c>
      <c r="E146" s="31"/>
      <c r="F146" s="32" t="s">
        <v>148</v>
      </c>
      <c r="G146" s="51"/>
      <c r="H146" s="48">
        <f>VLOOKUP(F146,[1]PPNE6!$F$22:$N$266,9,FALSE)</f>
        <v>2268082.8342857137</v>
      </c>
      <c r="I146" s="52"/>
      <c r="J146" s="33">
        <f t="shared" si="18"/>
        <v>2268082.8342857137</v>
      </c>
      <c r="K146" s="53">
        <f>IFERROR(J146/$J$14*100,"0.00")</f>
        <v>0.39827617906459989</v>
      </c>
      <c r="L146" s="97">
        <f>SUM(L147)</f>
        <v>0</v>
      </c>
      <c r="M146" s="97">
        <f>SUM(M147)</f>
        <v>0</v>
      </c>
      <c r="N146" s="97">
        <f t="shared" si="17"/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1:256" ht="12.75" x14ac:dyDescent="0.2">
      <c r="A147" s="15">
        <v>2</v>
      </c>
      <c r="B147" s="34">
        <v>3</v>
      </c>
      <c r="C147" s="34">
        <v>5</v>
      </c>
      <c r="D147" s="34">
        <v>1</v>
      </c>
      <c r="E147" s="34">
        <v>0.1</v>
      </c>
      <c r="F147" s="35" t="s">
        <v>149</v>
      </c>
      <c r="G147" s="47">
        <f>G148</f>
        <v>0</v>
      </c>
      <c r="H147" s="37">
        <f>VLOOKUP(F147,[1]PPNE6!$F$22:$N$266,9,FALSE)</f>
        <v>0</v>
      </c>
      <c r="I147" s="45">
        <f>I148</f>
        <v>0</v>
      </c>
      <c r="J147" s="39">
        <f t="shared" si="18"/>
        <v>0</v>
      </c>
      <c r="K147" s="46">
        <f>K148</f>
        <v>0</v>
      </c>
      <c r="L147" s="95">
        <f>J147/12</f>
        <v>0</v>
      </c>
      <c r="M147" s="95"/>
      <c r="N147" s="95">
        <f t="shared" si="17"/>
        <v>0</v>
      </c>
    </row>
    <row r="148" spans="1:256" ht="12.75" x14ac:dyDescent="0.2">
      <c r="A148" s="15">
        <v>2</v>
      </c>
      <c r="B148" s="34">
        <v>3</v>
      </c>
      <c r="C148" s="34">
        <v>5</v>
      </c>
      <c r="D148" s="34">
        <v>2</v>
      </c>
      <c r="E148" s="34">
        <v>0.1</v>
      </c>
      <c r="F148" s="35" t="s">
        <v>150</v>
      </c>
      <c r="G148" s="36"/>
      <c r="H148" s="37">
        <f>VLOOKUP(F148,[1]PPNE6!$F$22:$N$266,9,FALSE)</f>
        <v>0</v>
      </c>
      <c r="I148" s="38"/>
      <c r="J148" s="39">
        <f t="shared" si="18"/>
        <v>0</v>
      </c>
      <c r="K148" s="40">
        <f>IFERROR(J148/$J$14*100,"0.00")</f>
        <v>0</v>
      </c>
      <c r="L148" s="95">
        <f>J148/12</f>
        <v>0</v>
      </c>
      <c r="M148" s="95"/>
      <c r="N148" s="95">
        <f t="shared" si="17"/>
        <v>0</v>
      </c>
    </row>
    <row r="149" spans="1:256" ht="12.75" x14ac:dyDescent="0.2">
      <c r="A149" s="15">
        <v>2</v>
      </c>
      <c r="B149" s="34">
        <v>3</v>
      </c>
      <c r="C149" s="34">
        <v>5</v>
      </c>
      <c r="D149" s="34">
        <v>3</v>
      </c>
      <c r="E149" s="34">
        <v>0.1</v>
      </c>
      <c r="F149" s="35" t="s">
        <v>151</v>
      </c>
      <c r="G149" s="47">
        <f>G150</f>
        <v>0</v>
      </c>
      <c r="H149" s="37">
        <f>VLOOKUP(F149,[1]PPNE6!$F$22:$N$266,9,FALSE)</f>
        <v>0</v>
      </c>
      <c r="I149" s="45">
        <f>I150</f>
        <v>0</v>
      </c>
      <c r="J149" s="39">
        <f t="shared" si="18"/>
        <v>0</v>
      </c>
      <c r="K149" s="46">
        <f>K150</f>
        <v>1.4349791100183189E-2</v>
      </c>
      <c r="L149" s="95">
        <f>J149/12</f>
        <v>0</v>
      </c>
      <c r="M149" s="95">
        <v>654</v>
      </c>
      <c r="N149" s="95">
        <f t="shared" si="17"/>
        <v>-654</v>
      </c>
    </row>
    <row r="150" spans="1:256" ht="12.75" x14ac:dyDescent="0.2">
      <c r="A150" s="15">
        <v>2</v>
      </c>
      <c r="B150" s="34">
        <v>3</v>
      </c>
      <c r="C150" s="34">
        <v>5</v>
      </c>
      <c r="D150" s="34">
        <v>4</v>
      </c>
      <c r="E150" s="34">
        <v>0.1</v>
      </c>
      <c r="F150" s="35" t="s">
        <v>152</v>
      </c>
      <c r="G150" s="36"/>
      <c r="H150" s="37">
        <f>VLOOKUP(F150,[1]PPNE6!$F$22:$N$266,9,FALSE)</f>
        <v>81718.457142857136</v>
      </c>
      <c r="I150" s="38"/>
      <c r="J150" s="39">
        <f t="shared" si="18"/>
        <v>81718.457142857136</v>
      </c>
      <c r="K150" s="40">
        <f>IFERROR(J150/$J$14*100,"0.00")</f>
        <v>1.4349791100183189E-2</v>
      </c>
      <c r="L150" s="95">
        <f>J150/12</f>
        <v>6809.8714285714277</v>
      </c>
      <c r="M150" s="95">
        <v>0</v>
      </c>
      <c r="N150" s="95">
        <f t="shared" si="17"/>
        <v>6809.8714285714277</v>
      </c>
    </row>
    <row r="151" spans="1:256" ht="12.75" x14ac:dyDescent="0.2">
      <c r="A151" s="15">
        <v>2</v>
      </c>
      <c r="B151" s="34">
        <v>3</v>
      </c>
      <c r="C151" s="34">
        <v>5</v>
      </c>
      <c r="D151" s="34">
        <v>5</v>
      </c>
      <c r="E151" s="34">
        <v>0.1</v>
      </c>
      <c r="F151" s="35" t="s">
        <v>153</v>
      </c>
      <c r="G151" s="69">
        <f>+G152</f>
        <v>0</v>
      </c>
      <c r="H151" s="37">
        <f>VLOOKUP(F151,[1]PPNE6!$F$22:$N$266,9,FALSE)</f>
        <v>2186364.3771428568</v>
      </c>
      <c r="I151" s="70">
        <f>+I152</f>
        <v>0</v>
      </c>
      <c r="J151" s="39">
        <f t="shared" si="18"/>
        <v>2186364.3771428568</v>
      </c>
      <c r="K151" s="71">
        <f>+K152</f>
        <v>9.7126030241747804E-2</v>
      </c>
      <c r="L151" s="95">
        <f>J151/12</f>
        <v>182197.03142857141</v>
      </c>
      <c r="M151" s="95">
        <v>508.9</v>
      </c>
      <c r="N151" s="95">
        <f t="shared" si="17"/>
        <v>181688.13142857142</v>
      </c>
    </row>
    <row r="152" spans="1:256" s="96" customFormat="1" ht="12.75" x14ac:dyDescent="0.2">
      <c r="A152" s="15">
        <v>2</v>
      </c>
      <c r="B152" s="31">
        <v>3</v>
      </c>
      <c r="C152" s="31">
        <v>6</v>
      </c>
      <c r="D152" s="31"/>
      <c r="E152" s="31"/>
      <c r="F152" s="32" t="s">
        <v>154</v>
      </c>
      <c r="G152" s="51"/>
      <c r="H152" s="48">
        <f>VLOOKUP(F152,[1]PPNE6!$F$22:$N$266,9,FALSE)</f>
        <v>553108.35428571433</v>
      </c>
      <c r="I152" s="52"/>
      <c r="J152" s="43">
        <f t="shared" si="18"/>
        <v>553108.35428571433</v>
      </c>
      <c r="K152" s="62">
        <f>IFERROR(J152/$J$14*100,"0.00")</f>
        <v>9.7126030241747804E-2</v>
      </c>
      <c r="L152" s="99">
        <f>L153</f>
        <v>6860.7142857142862</v>
      </c>
      <c r="M152" s="99">
        <f>M153+M159+M163+M168</f>
        <v>2708.1</v>
      </c>
      <c r="N152" s="99">
        <f t="shared" si="17"/>
        <v>4152.6142857142859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1:256" s="96" customFormat="1" ht="12.75" x14ac:dyDescent="0.2">
      <c r="A153" s="15">
        <v>2</v>
      </c>
      <c r="B153" s="31">
        <v>3</v>
      </c>
      <c r="C153" s="31">
        <v>6</v>
      </c>
      <c r="D153" s="31">
        <v>1</v>
      </c>
      <c r="E153" s="31"/>
      <c r="F153" s="32" t="s">
        <v>155</v>
      </c>
      <c r="G153" s="66">
        <f>+G154</f>
        <v>0</v>
      </c>
      <c r="H153" s="48">
        <f>VLOOKUP(F153,[1]PPNE6!$F$22:$N$266,9,FALSE)</f>
        <v>82328.57142857142</v>
      </c>
      <c r="I153" s="67">
        <f>+I154</f>
        <v>0</v>
      </c>
      <c r="J153" s="33">
        <f t="shared" si="18"/>
        <v>82328.57142857142</v>
      </c>
      <c r="K153" s="68">
        <f>+K154</f>
        <v>6.122933954652513E-3</v>
      </c>
      <c r="L153" s="97">
        <f>SUM(L154:L158)</f>
        <v>6860.7142857142862</v>
      </c>
      <c r="M153" s="97">
        <f>SUM(M154:M158)</f>
        <v>0</v>
      </c>
      <c r="N153" s="97">
        <f t="shared" si="17"/>
        <v>6860.7142857142862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1:256" ht="12.75" x14ac:dyDescent="0.2">
      <c r="A154" s="15">
        <v>2</v>
      </c>
      <c r="B154" s="34">
        <v>3</v>
      </c>
      <c r="C154" s="34">
        <v>6</v>
      </c>
      <c r="D154" s="34">
        <v>1</v>
      </c>
      <c r="E154" s="34">
        <v>0.1</v>
      </c>
      <c r="F154" s="35" t="s">
        <v>156</v>
      </c>
      <c r="G154" s="36"/>
      <c r="H154" s="37">
        <f>VLOOKUP(F154,[1]PPNE6!$F$22:$N$266,9,FALSE)</f>
        <v>34868.571428571428</v>
      </c>
      <c r="I154" s="38"/>
      <c r="J154" s="39">
        <f t="shared" si="18"/>
        <v>34868.571428571428</v>
      </c>
      <c r="K154" s="40">
        <f>IFERROR(J154/$J$14*100,"0.00")</f>
        <v>6.122933954652513E-3</v>
      </c>
      <c r="L154" s="95">
        <f>J154/12</f>
        <v>2905.7142857142858</v>
      </c>
      <c r="M154" s="95"/>
      <c r="N154" s="95">
        <f t="shared" si="17"/>
        <v>2905.7142857142858</v>
      </c>
    </row>
    <row r="155" spans="1:256" ht="12.75" x14ac:dyDescent="0.2">
      <c r="A155" s="15">
        <v>2</v>
      </c>
      <c r="B155" s="34">
        <v>3</v>
      </c>
      <c r="C155" s="34">
        <v>6</v>
      </c>
      <c r="D155" s="34">
        <v>1</v>
      </c>
      <c r="E155" s="34">
        <v>0.2</v>
      </c>
      <c r="F155" s="35" t="s">
        <v>157</v>
      </c>
      <c r="G155" s="69">
        <f>+G156</f>
        <v>0</v>
      </c>
      <c r="H155" s="37">
        <f>VLOOKUP(F155,[1]PPNE6!$F$22:$N$266,9,FALSE)</f>
        <v>0</v>
      </c>
      <c r="I155" s="70">
        <f>+I156</f>
        <v>0</v>
      </c>
      <c r="J155" s="39">
        <f t="shared" si="18"/>
        <v>0</v>
      </c>
      <c r="K155" s="71">
        <f>+K156</f>
        <v>0</v>
      </c>
      <c r="L155" s="95">
        <f>J155/12</f>
        <v>0</v>
      </c>
      <c r="M155" s="95"/>
      <c r="N155" s="95">
        <f t="shared" si="17"/>
        <v>0</v>
      </c>
    </row>
    <row r="156" spans="1:256" ht="12.75" x14ac:dyDescent="0.2">
      <c r="A156" s="15">
        <v>2</v>
      </c>
      <c r="B156" s="34">
        <v>3</v>
      </c>
      <c r="C156" s="34">
        <v>6</v>
      </c>
      <c r="D156" s="34">
        <v>1</v>
      </c>
      <c r="E156" s="34">
        <v>0.3</v>
      </c>
      <c r="F156" s="35" t="s">
        <v>158</v>
      </c>
      <c r="G156" s="36"/>
      <c r="H156" s="37">
        <f>VLOOKUP(F156,[1]PPNE6!$F$22:$N$266,9,FALSE)</f>
        <v>0</v>
      </c>
      <c r="I156" s="38"/>
      <c r="J156" s="39">
        <f t="shared" si="18"/>
        <v>0</v>
      </c>
      <c r="K156" s="40">
        <f>IFERROR(J156/$J$14*100,"0.00")</f>
        <v>0</v>
      </c>
      <c r="L156" s="95">
        <f>J156/12</f>
        <v>0</v>
      </c>
      <c r="M156" s="95"/>
      <c r="N156" s="95">
        <f t="shared" si="17"/>
        <v>0</v>
      </c>
    </row>
    <row r="157" spans="1:256" ht="12.75" x14ac:dyDescent="0.2">
      <c r="A157" s="15">
        <v>2</v>
      </c>
      <c r="B157" s="34">
        <v>3</v>
      </c>
      <c r="C157" s="34">
        <v>6</v>
      </c>
      <c r="D157" s="34">
        <v>1</v>
      </c>
      <c r="E157" s="34">
        <v>0.4</v>
      </c>
      <c r="F157" s="35" t="s">
        <v>159</v>
      </c>
      <c r="G157" s="69">
        <f>+G158</f>
        <v>0</v>
      </c>
      <c r="H157" s="37">
        <f>VLOOKUP(F157,[1]PPNE6!$F$22:$N$266,9,FALSE)</f>
        <v>0</v>
      </c>
      <c r="I157" s="70">
        <f>+I158</f>
        <v>0</v>
      </c>
      <c r="J157" s="39">
        <f t="shared" si="18"/>
        <v>0</v>
      </c>
      <c r="K157" s="71">
        <f>+K158</f>
        <v>8.3339934382770323E-3</v>
      </c>
      <c r="L157" s="95">
        <f>J157/12</f>
        <v>0</v>
      </c>
      <c r="M157" s="95"/>
      <c r="N157" s="95">
        <f t="shared" si="17"/>
        <v>0</v>
      </c>
    </row>
    <row r="158" spans="1:256" ht="12.75" x14ac:dyDescent="0.2">
      <c r="A158" s="15">
        <v>2</v>
      </c>
      <c r="B158" s="34">
        <v>3</v>
      </c>
      <c r="C158" s="34">
        <v>6</v>
      </c>
      <c r="D158" s="34">
        <v>1</v>
      </c>
      <c r="E158" s="34">
        <v>0.5</v>
      </c>
      <c r="F158" s="35" t="s">
        <v>160</v>
      </c>
      <c r="G158" s="36"/>
      <c r="H158" s="37">
        <f>VLOOKUP(F158,[1]PPNE6!$F$22:$N$266,9,FALSE)</f>
        <v>47460</v>
      </c>
      <c r="I158" s="38"/>
      <c r="J158" s="39">
        <f t="shared" si="18"/>
        <v>47460</v>
      </c>
      <c r="K158" s="40">
        <f>IFERROR(J158/$J$14*100,"0.00")</f>
        <v>8.3339934382770323E-3</v>
      </c>
      <c r="L158" s="95">
        <f>J158/12</f>
        <v>3955</v>
      </c>
      <c r="M158" s="95"/>
      <c r="N158" s="95">
        <f t="shared" si="17"/>
        <v>3955</v>
      </c>
    </row>
    <row r="159" spans="1:256" s="96" customFormat="1" ht="12.75" x14ac:dyDescent="0.2">
      <c r="A159" s="15">
        <v>2</v>
      </c>
      <c r="B159" s="31">
        <v>3</v>
      </c>
      <c r="C159" s="31">
        <v>6</v>
      </c>
      <c r="D159" s="31">
        <v>2</v>
      </c>
      <c r="E159" s="31"/>
      <c r="F159" s="32" t="s">
        <v>161</v>
      </c>
      <c r="G159" s="66">
        <f>+G160</f>
        <v>0</v>
      </c>
      <c r="H159" s="48">
        <f>VLOOKUP(F159,[1]PPNE6!$F$22:$N$266,9,FALSE)</f>
        <v>459273.15428571426</v>
      </c>
      <c r="I159" s="67">
        <f>+I160</f>
        <v>0</v>
      </c>
      <c r="J159" s="43">
        <f t="shared" si="18"/>
        <v>459273.15428571426</v>
      </c>
      <c r="K159" s="68">
        <f>+K160</f>
        <v>1.1764221187208466E-2</v>
      </c>
      <c r="L159" s="99">
        <f>SUM(L160:L162)</f>
        <v>5582.8571428571422</v>
      </c>
      <c r="M159" s="99">
        <f>SUM(M160:M162)</f>
        <v>0</v>
      </c>
      <c r="N159" s="99">
        <f t="shared" si="17"/>
        <v>5582.8571428571422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1:256" ht="12.75" x14ac:dyDescent="0.2">
      <c r="A160" s="15">
        <v>2</v>
      </c>
      <c r="B160" s="34">
        <v>3</v>
      </c>
      <c r="C160" s="34">
        <v>6</v>
      </c>
      <c r="D160" s="34">
        <v>2</v>
      </c>
      <c r="E160" s="34">
        <v>0.1</v>
      </c>
      <c r="F160" s="35" t="s">
        <v>162</v>
      </c>
      <c r="G160" s="36"/>
      <c r="H160" s="37">
        <f>VLOOKUP(F160,[1]PPNE6!$F$22:$N$266,9,FALSE)</f>
        <v>66994.28571428571</v>
      </c>
      <c r="I160" s="38"/>
      <c r="J160" s="39">
        <f t="shared" si="18"/>
        <v>66994.28571428571</v>
      </c>
      <c r="K160" s="40">
        <f>IFERROR(J160/$J$14*100,"0.00")</f>
        <v>1.1764221187208466E-2</v>
      </c>
      <c r="L160" s="95">
        <f>J160/12</f>
        <v>5582.8571428571422</v>
      </c>
      <c r="M160" s="95"/>
      <c r="N160" s="95">
        <f t="shared" si="17"/>
        <v>5582.8571428571422</v>
      </c>
    </row>
    <row r="161" spans="1:256" ht="12.75" x14ac:dyDescent="0.2">
      <c r="A161" s="15">
        <v>2</v>
      </c>
      <c r="B161" s="34">
        <v>3</v>
      </c>
      <c r="C161" s="34">
        <v>6</v>
      </c>
      <c r="D161" s="34">
        <v>2</v>
      </c>
      <c r="E161" s="34">
        <v>0.2</v>
      </c>
      <c r="F161" s="35" t="s">
        <v>163</v>
      </c>
      <c r="G161" s="36">
        <f>+G162+G170+G177</f>
        <v>0</v>
      </c>
      <c r="H161" s="37">
        <f>VLOOKUP(F161,[1]PPNE6!$F$22:$N$266,9,FALSE)</f>
        <v>0</v>
      </c>
      <c r="I161" s="38">
        <f>+I162+I170+I177</f>
        <v>0</v>
      </c>
      <c r="J161" s="39">
        <f t="shared" si="18"/>
        <v>0</v>
      </c>
      <c r="K161" s="40">
        <f>+K162+K170+K177</f>
        <v>5.2837768433530981</v>
      </c>
      <c r="L161" s="95">
        <f>J161/12</f>
        <v>0</v>
      </c>
      <c r="M161" s="95"/>
      <c r="N161" s="95">
        <f t="shared" si="17"/>
        <v>0</v>
      </c>
    </row>
    <row r="162" spans="1:256" ht="12.75" x14ac:dyDescent="0.2">
      <c r="A162" s="15">
        <v>2</v>
      </c>
      <c r="B162" s="34">
        <v>3</v>
      </c>
      <c r="C162" s="34">
        <v>6</v>
      </c>
      <c r="D162" s="34">
        <v>2</v>
      </c>
      <c r="E162" s="34">
        <v>0.3</v>
      </c>
      <c r="F162" s="35" t="s">
        <v>164</v>
      </c>
      <c r="G162" s="47">
        <f>SUM(G163:G169)</f>
        <v>0</v>
      </c>
      <c r="H162" s="37">
        <f>VLOOKUP(F162,[1]PPNE6!$F$22:$N$266,9,FALSE)</f>
        <v>0</v>
      </c>
      <c r="I162" s="45">
        <f>SUM(I163:I169)</f>
        <v>0</v>
      </c>
      <c r="J162" s="39">
        <f t="shared" si="18"/>
        <v>0</v>
      </c>
      <c r="K162" s="46">
        <f>SUM(K163:K169)</f>
        <v>0.13978919511818425</v>
      </c>
      <c r="L162" s="95">
        <f>J162/12</f>
        <v>0</v>
      </c>
      <c r="M162" s="95"/>
      <c r="N162" s="95">
        <f t="shared" si="17"/>
        <v>0</v>
      </c>
    </row>
    <row r="163" spans="1:256" s="96" customFormat="1" ht="12.75" x14ac:dyDescent="0.2">
      <c r="A163" s="15">
        <v>2</v>
      </c>
      <c r="B163" s="31">
        <v>3</v>
      </c>
      <c r="C163" s="31">
        <v>6</v>
      </c>
      <c r="D163" s="31">
        <v>3</v>
      </c>
      <c r="E163" s="31"/>
      <c r="F163" s="32" t="s">
        <v>165</v>
      </c>
      <c r="G163" s="66"/>
      <c r="H163" s="48">
        <f>VLOOKUP(F163,[1]PPNE6!$F$22:$N$266,9,FALSE)</f>
        <v>392278.86857142858</v>
      </c>
      <c r="I163" s="67"/>
      <c r="J163" s="43">
        <f t="shared" si="18"/>
        <v>392278.86857142858</v>
      </c>
      <c r="K163" s="68">
        <f t="shared" ref="K163:K169" si="19">IFERROR(J163/$J$14*100,"0.00")</f>
        <v>6.8884313456574461E-2</v>
      </c>
      <c r="L163" s="99">
        <f>SUM(L164:L167)</f>
        <v>32689.90571428572</v>
      </c>
      <c r="M163" s="99">
        <f>SUM(M164:M167)</f>
        <v>2708.1</v>
      </c>
      <c r="N163" s="99">
        <f t="shared" si="17"/>
        <v>29981.805714285721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1:256" ht="12.75" x14ac:dyDescent="0.2">
      <c r="A164" s="15">
        <v>2</v>
      </c>
      <c r="B164" s="34">
        <v>3</v>
      </c>
      <c r="C164" s="34">
        <v>6</v>
      </c>
      <c r="D164" s="34">
        <v>3</v>
      </c>
      <c r="E164" s="34">
        <v>0.1</v>
      </c>
      <c r="F164" s="35" t="s">
        <v>166</v>
      </c>
      <c r="G164" s="36"/>
      <c r="H164" s="37">
        <f>VLOOKUP(F164,[1]PPNE6!$F$22:$N$266,9,FALSE)</f>
        <v>4868.5714285714284</v>
      </c>
      <c r="I164" s="38"/>
      <c r="J164" s="39">
        <f t="shared" si="18"/>
        <v>4868.5714285714284</v>
      </c>
      <c r="K164" s="40">
        <f t="shared" si="19"/>
        <v>8.5492293172139311E-4</v>
      </c>
      <c r="L164" s="95">
        <f>J164/12</f>
        <v>405.71428571428572</v>
      </c>
      <c r="M164" s="95"/>
      <c r="N164" s="95">
        <f t="shared" si="17"/>
        <v>405.71428571428572</v>
      </c>
    </row>
    <row r="165" spans="1:256" ht="12.75" x14ac:dyDescent="0.2">
      <c r="A165" s="15">
        <v>2</v>
      </c>
      <c r="B165" s="34">
        <v>3</v>
      </c>
      <c r="C165" s="34">
        <v>6</v>
      </c>
      <c r="D165" s="34">
        <v>3</v>
      </c>
      <c r="E165" s="34">
        <v>0.2</v>
      </c>
      <c r="F165" s="35" t="s">
        <v>167</v>
      </c>
      <c r="G165" s="36"/>
      <c r="H165" s="37">
        <f>VLOOKUP(F165,[1]PPNE6!$F$22:$N$266,9,FALSE)</f>
        <v>0</v>
      </c>
      <c r="I165" s="38"/>
      <c r="J165" s="39">
        <f t="shared" si="18"/>
        <v>0</v>
      </c>
      <c r="K165" s="40">
        <f t="shared" si="19"/>
        <v>0</v>
      </c>
      <c r="L165" s="95">
        <f>J165/12</f>
        <v>0</v>
      </c>
      <c r="M165" s="95"/>
      <c r="N165" s="95">
        <f t="shared" si="17"/>
        <v>0</v>
      </c>
    </row>
    <row r="166" spans="1:256" ht="12.75" x14ac:dyDescent="0.2">
      <c r="A166" s="15">
        <v>2</v>
      </c>
      <c r="B166" s="34">
        <v>3</v>
      </c>
      <c r="C166" s="34">
        <v>6</v>
      </c>
      <c r="D166" s="34">
        <v>3</v>
      </c>
      <c r="E166" s="34">
        <v>0.3</v>
      </c>
      <c r="F166" s="35" t="s">
        <v>168</v>
      </c>
      <c r="G166" s="36"/>
      <c r="H166" s="37">
        <f>VLOOKUP(F166,[1]PPNE6!$F$22:$N$266,9,FALSE)</f>
        <v>355835.16000000003</v>
      </c>
      <c r="I166" s="38"/>
      <c r="J166" s="39">
        <f t="shared" si="18"/>
        <v>355835.16000000003</v>
      </c>
      <c r="K166" s="40">
        <f t="shared" si="19"/>
        <v>6.2484784840881956E-2</v>
      </c>
      <c r="L166" s="95">
        <f>J166/12</f>
        <v>29652.930000000004</v>
      </c>
      <c r="M166" s="95">
        <v>2708.1</v>
      </c>
      <c r="N166" s="95">
        <f t="shared" si="17"/>
        <v>26944.830000000005</v>
      </c>
    </row>
    <row r="167" spans="1:256" ht="12.75" x14ac:dyDescent="0.2">
      <c r="A167" s="15">
        <v>2</v>
      </c>
      <c r="B167" s="34">
        <v>3</v>
      </c>
      <c r="C167" s="34">
        <v>6</v>
      </c>
      <c r="D167" s="34">
        <v>3</v>
      </c>
      <c r="E167" s="34">
        <v>0.4</v>
      </c>
      <c r="F167" s="35" t="s">
        <v>169</v>
      </c>
      <c r="G167" s="36"/>
      <c r="H167" s="37">
        <f>VLOOKUP(F167,[1]PPNE6!$F$22:$N$266,9,FALSE)</f>
        <v>31575.137142857147</v>
      </c>
      <c r="I167" s="38"/>
      <c r="J167" s="39">
        <f t="shared" si="18"/>
        <v>31575.137142857147</v>
      </c>
      <c r="K167" s="40">
        <f t="shared" si="19"/>
        <v>5.5446056839711091E-3</v>
      </c>
      <c r="L167" s="95">
        <f>J167/12</f>
        <v>2631.261428571429</v>
      </c>
      <c r="M167" s="95">
        <v>0</v>
      </c>
      <c r="N167" s="95">
        <f t="shared" si="17"/>
        <v>2631.261428571429</v>
      </c>
    </row>
    <row r="168" spans="1:256" s="96" customFormat="1" ht="12.75" x14ac:dyDescent="0.2">
      <c r="A168" s="15">
        <v>2</v>
      </c>
      <c r="B168" s="31">
        <v>3</v>
      </c>
      <c r="C168" s="31">
        <v>6</v>
      </c>
      <c r="D168" s="31">
        <v>4</v>
      </c>
      <c r="E168" s="31"/>
      <c r="F168" s="32" t="s">
        <v>170</v>
      </c>
      <c r="G168" s="66"/>
      <c r="H168" s="48">
        <f>VLOOKUP(F168,[1]PPNE6!$F$22:$N$266,9,FALSE)</f>
        <v>11506.628571428571</v>
      </c>
      <c r="I168" s="67"/>
      <c r="J168" s="43">
        <f t="shared" si="18"/>
        <v>11506.628571428571</v>
      </c>
      <c r="K168" s="68">
        <f t="shared" si="19"/>
        <v>2.0205682050353294E-3</v>
      </c>
      <c r="L168" s="99">
        <f>SUM(L169:L171)</f>
        <v>958.88571428571424</v>
      </c>
      <c r="M168" s="99">
        <f>SUM(M169:M171)</f>
        <v>0</v>
      </c>
      <c r="N168" s="99">
        <f t="shared" si="17"/>
        <v>958.88571428571424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1:256" ht="12.75" x14ac:dyDescent="0.2">
      <c r="A169" s="15">
        <v>2</v>
      </c>
      <c r="B169" s="34">
        <v>3</v>
      </c>
      <c r="C169" s="34">
        <v>6</v>
      </c>
      <c r="D169" s="34">
        <v>4</v>
      </c>
      <c r="E169" s="34">
        <v>0.1</v>
      </c>
      <c r="F169" s="35" t="s">
        <v>171</v>
      </c>
      <c r="G169" s="36"/>
      <c r="H169" s="37">
        <f>VLOOKUP(F169,[1]PPNE6!$F$22:$N$266,9,FALSE)</f>
        <v>0</v>
      </c>
      <c r="I169" s="38"/>
      <c r="J169" s="39">
        <f t="shared" si="18"/>
        <v>0</v>
      </c>
      <c r="K169" s="40">
        <f t="shared" si="19"/>
        <v>0</v>
      </c>
      <c r="L169" s="95">
        <f>J169/12</f>
        <v>0</v>
      </c>
      <c r="M169" s="95"/>
      <c r="N169" s="95">
        <f t="shared" si="17"/>
        <v>0</v>
      </c>
    </row>
    <row r="170" spans="1:256" ht="12.75" x14ac:dyDescent="0.2">
      <c r="A170" s="15">
        <v>2</v>
      </c>
      <c r="B170" s="34">
        <v>3</v>
      </c>
      <c r="C170" s="34">
        <v>6</v>
      </c>
      <c r="D170" s="34">
        <v>4</v>
      </c>
      <c r="E170" s="34">
        <v>0.4</v>
      </c>
      <c r="F170" s="35" t="s">
        <v>172</v>
      </c>
      <c r="G170" s="47">
        <f>SUM(G171:G176)</f>
        <v>0</v>
      </c>
      <c r="H170" s="37">
        <f>VLOOKUP(F170,[1]PPNE6!$F$22:$N$266,9,FALSE)</f>
        <v>11506.628571428571</v>
      </c>
      <c r="I170" s="45">
        <f>SUM(I171:I176)</f>
        <v>0</v>
      </c>
      <c r="J170" s="39">
        <f t="shared" si="18"/>
        <v>11506.628571428571</v>
      </c>
      <c r="K170" s="46">
        <f>SUM(K171:K176)</f>
        <v>5.1288333866971492</v>
      </c>
      <c r="L170" s="95">
        <f>J170/12</f>
        <v>958.88571428571424</v>
      </c>
      <c r="M170" s="95"/>
      <c r="N170" s="95">
        <f t="shared" si="17"/>
        <v>958.88571428571424</v>
      </c>
    </row>
    <row r="171" spans="1:256" ht="12.75" x14ac:dyDescent="0.2">
      <c r="A171" s="15">
        <v>2</v>
      </c>
      <c r="B171" s="34">
        <v>3</v>
      </c>
      <c r="C171" s="34">
        <v>6</v>
      </c>
      <c r="D171" s="34">
        <v>4</v>
      </c>
      <c r="E171" s="34">
        <v>0.7</v>
      </c>
      <c r="F171" s="35" t="s">
        <v>173</v>
      </c>
      <c r="G171" s="36"/>
      <c r="H171" s="37">
        <f>VLOOKUP(F171,[1]PPNE6!$F$22:$N$266,9,FALSE)</f>
        <v>0</v>
      </c>
      <c r="I171" s="38"/>
      <c r="J171" s="39">
        <f t="shared" si="18"/>
        <v>0</v>
      </c>
      <c r="K171" s="40">
        <f t="shared" ref="K171:K176" si="20">IFERROR(J171/$J$14*100,"0.00")</f>
        <v>0</v>
      </c>
      <c r="L171" s="95">
        <f>J171/12</f>
        <v>0</v>
      </c>
      <c r="M171" s="95"/>
      <c r="N171" s="95">
        <f t="shared" si="17"/>
        <v>0</v>
      </c>
    </row>
    <row r="172" spans="1:256" s="96" customFormat="1" ht="12.75" x14ac:dyDescent="0.2">
      <c r="A172" s="15">
        <v>2</v>
      </c>
      <c r="B172" s="31">
        <v>3</v>
      </c>
      <c r="C172" s="31">
        <v>7</v>
      </c>
      <c r="D172" s="31"/>
      <c r="E172" s="31"/>
      <c r="F172" s="32" t="s">
        <v>174</v>
      </c>
      <c r="G172" s="66"/>
      <c r="H172" s="48">
        <f>VLOOKUP(F172,[1]PPNE6!$F$22:$N$266,9,FALSE)</f>
        <v>22143874.320000004</v>
      </c>
      <c r="I172" s="67"/>
      <c r="J172" s="43">
        <f t="shared" si="18"/>
        <v>22143874.320000004</v>
      </c>
      <c r="K172" s="68">
        <f t="shared" si="20"/>
        <v>3.8884724669387123</v>
      </c>
      <c r="L172" s="99">
        <f>L173+L179</f>
        <v>1845322.8600000003</v>
      </c>
      <c r="M172" s="99">
        <f>M173+M179</f>
        <v>3456958.07</v>
      </c>
      <c r="N172" s="99">
        <f t="shared" si="17"/>
        <v>-1611635.2099999995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1:256" s="96" customFormat="1" ht="12.75" x14ac:dyDescent="0.2">
      <c r="A173" s="15">
        <v>2</v>
      </c>
      <c r="B173" s="31">
        <v>3</v>
      </c>
      <c r="C173" s="31">
        <v>7</v>
      </c>
      <c r="D173" s="31">
        <v>1</v>
      </c>
      <c r="E173" s="31"/>
      <c r="F173" s="32" t="s">
        <v>175</v>
      </c>
      <c r="G173" s="66"/>
      <c r="H173" s="48">
        <f>VLOOKUP(F173,[1]PPNE6!$F$22:$N$266,9,FALSE)</f>
        <v>3584501.9142857143</v>
      </c>
      <c r="I173" s="67"/>
      <c r="J173" s="33">
        <f t="shared" si="18"/>
        <v>3584501.9142857143</v>
      </c>
      <c r="K173" s="68">
        <f t="shared" si="20"/>
        <v>0.62943985320582807</v>
      </c>
      <c r="L173" s="97">
        <f>SUM(L174:L178)</f>
        <v>298708.49285714288</v>
      </c>
      <c r="M173" s="97">
        <f>SUM(M174:M178)</f>
        <v>804989.96</v>
      </c>
      <c r="N173" s="97">
        <f t="shared" si="17"/>
        <v>-506281.46714285709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1:256" ht="12.75" x14ac:dyDescent="0.2">
      <c r="A174" s="15">
        <v>2</v>
      </c>
      <c r="B174" s="34">
        <v>3</v>
      </c>
      <c r="C174" s="34">
        <v>7</v>
      </c>
      <c r="D174" s="34">
        <v>1</v>
      </c>
      <c r="E174" s="34">
        <v>0.1</v>
      </c>
      <c r="F174" s="35" t="s">
        <v>176</v>
      </c>
      <c r="G174" s="36"/>
      <c r="H174" s="37">
        <f>VLOOKUP(F174,[1]PPNE6!$F$22:$N$266,9,FALSE)</f>
        <v>484667.62285714288</v>
      </c>
      <c r="I174" s="38"/>
      <c r="J174" s="39">
        <f t="shared" si="18"/>
        <v>484667.62285714288</v>
      </c>
      <c r="K174" s="40">
        <f t="shared" si="20"/>
        <v>8.5107812655641699E-2</v>
      </c>
      <c r="L174" s="95">
        <f>J174/12</f>
        <v>40388.968571428573</v>
      </c>
      <c r="M174" s="95">
        <v>56509.440000000002</v>
      </c>
      <c r="N174" s="95">
        <f t="shared" ref="N174:N205" si="21">L174-M174</f>
        <v>-16120.471428571429</v>
      </c>
    </row>
    <row r="175" spans="1:256" ht="12.75" x14ac:dyDescent="0.2">
      <c r="A175" s="15">
        <v>2</v>
      </c>
      <c r="B175" s="34">
        <v>3</v>
      </c>
      <c r="C175" s="34">
        <v>7</v>
      </c>
      <c r="D175" s="34">
        <v>1</v>
      </c>
      <c r="E175" s="34">
        <v>0.2</v>
      </c>
      <c r="F175" s="35" t="s">
        <v>177</v>
      </c>
      <c r="G175" s="74"/>
      <c r="H175" s="37">
        <f>VLOOKUP(F175,[1]PPNE6!$F$22:$N$266,9,FALSE)</f>
        <v>2529091.5942857144</v>
      </c>
      <c r="I175" s="75"/>
      <c r="J175" s="39">
        <f t="shared" si="18"/>
        <v>2529091.5942857144</v>
      </c>
      <c r="K175" s="76">
        <f t="shared" si="20"/>
        <v>0.44410941322331943</v>
      </c>
      <c r="L175" s="95">
        <f>J175/12</f>
        <v>210757.63285714286</v>
      </c>
      <c r="M175" s="95">
        <v>747680.52</v>
      </c>
      <c r="N175" s="95">
        <f t="shared" si="21"/>
        <v>-536922.88714285719</v>
      </c>
    </row>
    <row r="176" spans="1:256" ht="12.75" x14ac:dyDescent="0.2">
      <c r="A176" s="15">
        <v>2</v>
      </c>
      <c r="B176" s="34">
        <v>3</v>
      </c>
      <c r="C176" s="34">
        <v>7</v>
      </c>
      <c r="D176" s="34">
        <v>1</v>
      </c>
      <c r="E176" s="34">
        <v>0.4</v>
      </c>
      <c r="F176" s="35" t="s">
        <v>178</v>
      </c>
      <c r="G176" s="36"/>
      <c r="H176" s="37">
        <f>VLOOKUP(F176,[1]PPNE6!$F$22:$N$266,9,FALSE)</f>
        <v>465282.85714285716</v>
      </c>
      <c r="I176" s="38"/>
      <c r="J176" s="39">
        <f t="shared" si="18"/>
        <v>465282.85714285716</v>
      </c>
      <c r="K176" s="40">
        <f t="shared" si="20"/>
        <v>8.1703840673648553E-2</v>
      </c>
      <c r="L176" s="95">
        <f>J176/12</f>
        <v>38773.571428571428</v>
      </c>
      <c r="M176" s="95">
        <v>500</v>
      </c>
      <c r="N176" s="95">
        <f t="shared" si="21"/>
        <v>38273.571428571428</v>
      </c>
    </row>
    <row r="177" spans="1:256" ht="12.75" x14ac:dyDescent="0.2">
      <c r="A177" s="15">
        <v>2</v>
      </c>
      <c r="B177" s="34">
        <v>3</v>
      </c>
      <c r="C177" s="34">
        <v>7</v>
      </c>
      <c r="D177" s="34">
        <v>1</v>
      </c>
      <c r="E177" s="34">
        <v>0.5</v>
      </c>
      <c r="F177" s="35" t="s">
        <v>179</v>
      </c>
      <c r="G177" s="47">
        <f>G178</f>
        <v>0</v>
      </c>
      <c r="H177" s="37">
        <f>VLOOKUP(F177,[1]PPNE6!$F$22:$N$266,9,FALSE)</f>
        <v>19160.125714285714</v>
      </c>
      <c r="I177" s="45">
        <f>I178</f>
        <v>0</v>
      </c>
      <c r="J177" s="39">
        <f t="shared" ref="J177:J208" si="22">SUBTOTAL(9,G177:I177)</f>
        <v>19160.125714285714</v>
      </c>
      <c r="K177" s="46">
        <f>K178</f>
        <v>1.515426153776497E-2</v>
      </c>
      <c r="L177" s="95">
        <f>J177/12</f>
        <v>1596.6771428571428</v>
      </c>
      <c r="M177" s="95">
        <v>300</v>
      </c>
      <c r="N177" s="95">
        <f t="shared" si="21"/>
        <v>1296.6771428571428</v>
      </c>
    </row>
    <row r="178" spans="1:256" ht="12.75" x14ac:dyDescent="0.2">
      <c r="A178" s="15">
        <v>2</v>
      </c>
      <c r="B178" s="34">
        <v>3</v>
      </c>
      <c r="C178" s="34">
        <v>7</v>
      </c>
      <c r="D178" s="34">
        <v>1</v>
      </c>
      <c r="E178" s="34">
        <v>0.6</v>
      </c>
      <c r="F178" s="35" t="s">
        <v>180</v>
      </c>
      <c r="G178" s="36"/>
      <c r="H178" s="37">
        <f>VLOOKUP(F178,[1]PPNE6!$F$22:$N$266,9,FALSE)</f>
        <v>86299.71428571429</v>
      </c>
      <c r="I178" s="38"/>
      <c r="J178" s="39">
        <f t="shared" si="22"/>
        <v>86299.71428571429</v>
      </c>
      <c r="K178" s="40">
        <f>IFERROR(J178/$J$14*100,"0.00")</f>
        <v>1.515426153776497E-2</v>
      </c>
      <c r="L178" s="95">
        <f>J178/12</f>
        <v>7191.6428571428578</v>
      </c>
      <c r="M178" s="95"/>
      <c r="N178" s="95">
        <f t="shared" si="21"/>
        <v>7191.6428571428578</v>
      </c>
    </row>
    <row r="179" spans="1:256" ht="12.75" x14ac:dyDescent="0.2">
      <c r="A179" s="15">
        <v>2</v>
      </c>
      <c r="B179" s="72">
        <v>3</v>
      </c>
      <c r="C179" s="73">
        <v>7</v>
      </c>
      <c r="D179" s="73">
        <v>2</v>
      </c>
      <c r="E179" s="73"/>
      <c r="F179" s="94" t="s">
        <v>181</v>
      </c>
      <c r="G179" s="26">
        <f>+G180+G182+G184+G186+G188+G192+G197+G205+G209</f>
        <v>0</v>
      </c>
      <c r="H179" s="37">
        <f>VLOOKUP(F179,[1]PPNE6!$F$22:$N$266,9,FALSE)</f>
        <v>18559372.405714288</v>
      </c>
      <c r="I179" s="28">
        <f>+I180+I182+I184+I186+I188+I192+I197+I205+I209</f>
        <v>0</v>
      </c>
      <c r="J179" s="93">
        <f t="shared" si="22"/>
        <v>18559372.405714288</v>
      </c>
      <c r="K179" s="30">
        <f>+K180+K182+K184+K186+K188+K192+K197+K205+K209</f>
        <v>26.327428595572098</v>
      </c>
      <c r="L179" s="93">
        <f>SUM(L180:L185)</f>
        <v>1546614.3671428575</v>
      </c>
      <c r="M179" s="93">
        <f>SUM(M180:M185)</f>
        <v>2651968.11</v>
      </c>
      <c r="N179" s="93">
        <f t="shared" si="21"/>
        <v>-1105353.7428571424</v>
      </c>
    </row>
    <row r="180" spans="1:256" ht="12.75" x14ac:dyDescent="0.2">
      <c r="A180" s="15">
        <v>2</v>
      </c>
      <c r="B180" s="34">
        <v>3</v>
      </c>
      <c r="C180" s="34">
        <v>7</v>
      </c>
      <c r="D180" s="34">
        <v>2</v>
      </c>
      <c r="E180" s="34">
        <v>0.1</v>
      </c>
      <c r="F180" s="35" t="s">
        <v>182</v>
      </c>
      <c r="G180" s="47">
        <f>G181</f>
        <v>0</v>
      </c>
      <c r="H180" s="37">
        <f>VLOOKUP(F180,[1]PPNE6!$F$22:$N$266,9,FALSE)</f>
        <v>0</v>
      </c>
      <c r="I180" s="45">
        <f>I181</f>
        <v>0</v>
      </c>
      <c r="J180" s="39">
        <f t="shared" si="22"/>
        <v>0</v>
      </c>
      <c r="K180" s="46">
        <f>K181</f>
        <v>0</v>
      </c>
      <c r="L180" s="95">
        <f t="shared" ref="L180:L185" si="23">J180/12</f>
        <v>0</v>
      </c>
      <c r="M180" s="95"/>
      <c r="N180" s="95">
        <f t="shared" si="21"/>
        <v>0</v>
      </c>
    </row>
    <row r="181" spans="1:256" ht="12.75" x14ac:dyDescent="0.2">
      <c r="A181" s="15">
        <v>2</v>
      </c>
      <c r="B181" s="34">
        <v>3</v>
      </c>
      <c r="C181" s="34">
        <v>7</v>
      </c>
      <c r="D181" s="34">
        <v>2</v>
      </c>
      <c r="E181" s="34">
        <v>0.2</v>
      </c>
      <c r="F181" s="35" t="s">
        <v>183</v>
      </c>
      <c r="G181" s="36"/>
      <c r="H181" s="37">
        <f>VLOOKUP(F181,[1]PPNE6!$F$22:$N$266,9,FALSE)</f>
        <v>0</v>
      </c>
      <c r="I181" s="38"/>
      <c r="J181" s="39">
        <f t="shared" si="22"/>
        <v>0</v>
      </c>
      <c r="K181" s="40">
        <f>IFERROR(J181/$J$14*100,"0.00")</f>
        <v>0</v>
      </c>
      <c r="L181" s="95">
        <f t="shared" si="23"/>
        <v>0</v>
      </c>
      <c r="M181" s="95"/>
      <c r="N181" s="95">
        <f t="shared" si="21"/>
        <v>0</v>
      </c>
    </row>
    <row r="182" spans="1:256" ht="12.75" x14ac:dyDescent="0.2">
      <c r="A182" s="15">
        <v>2</v>
      </c>
      <c r="B182" s="34">
        <v>3</v>
      </c>
      <c r="C182" s="34">
        <v>7</v>
      </c>
      <c r="D182" s="34">
        <v>2</v>
      </c>
      <c r="E182" s="34">
        <v>0.3</v>
      </c>
      <c r="F182" s="35" t="s">
        <v>184</v>
      </c>
      <c r="G182" s="47">
        <f>G183</f>
        <v>0</v>
      </c>
      <c r="H182" s="37">
        <f>VLOOKUP(F182,[1]PPNE6!$F$22:$N$266,9,FALSE)</f>
        <v>18086909.622857146</v>
      </c>
      <c r="I182" s="45">
        <f>I183</f>
        <v>0</v>
      </c>
      <c r="J182" s="39">
        <f t="shared" si="22"/>
        <v>18086909.622857146</v>
      </c>
      <c r="K182" s="46">
        <f>K183</f>
        <v>1.7092438050401654E-3</v>
      </c>
      <c r="L182" s="95">
        <f t="shared" si="23"/>
        <v>1507242.4685714289</v>
      </c>
      <c r="M182" s="95">
        <v>2651968.11</v>
      </c>
      <c r="N182" s="95">
        <f t="shared" si="21"/>
        <v>-1144725.641428571</v>
      </c>
    </row>
    <row r="183" spans="1:256" ht="12.75" x14ac:dyDescent="0.2">
      <c r="A183" s="15">
        <v>2</v>
      </c>
      <c r="B183" s="34">
        <v>3</v>
      </c>
      <c r="C183" s="34">
        <v>7</v>
      </c>
      <c r="D183" s="34">
        <v>2</v>
      </c>
      <c r="E183" s="34">
        <v>0.4</v>
      </c>
      <c r="F183" s="35" t="s">
        <v>185</v>
      </c>
      <c r="G183" s="36"/>
      <c r="H183" s="37">
        <f>VLOOKUP(F183,[1]PPNE6!$F$22:$N$266,9,FALSE)</f>
        <v>9733.7142857142862</v>
      </c>
      <c r="I183" s="38"/>
      <c r="J183" s="39">
        <f t="shared" si="22"/>
        <v>9733.7142857142862</v>
      </c>
      <c r="K183" s="40">
        <f>IFERROR(J183/$J$14*100,"0.00")</f>
        <v>1.7092438050401654E-3</v>
      </c>
      <c r="L183" s="95">
        <f t="shared" si="23"/>
        <v>811.14285714285722</v>
      </c>
      <c r="M183" s="95"/>
      <c r="N183" s="95">
        <f t="shared" si="21"/>
        <v>811.14285714285722</v>
      </c>
    </row>
    <row r="184" spans="1:256" ht="12.75" x14ac:dyDescent="0.2">
      <c r="A184" s="15">
        <v>2</v>
      </c>
      <c r="B184" s="34">
        <v>3</v>
      </c>
      <c r="C184" s="34">
        <v>7</v>
      </c>
      <c r="D184" s="34">
        <v>2</v>
      </c>
      <c r="E184" s="34">
        <v>0.5</v>
      </c>
      <c r="F184" s="35" t="s">
        <v>186</v>
      </c>
      <c r="G184" s="47">
        <f>G185</f>
        <v>0</v>
      </c>
      <c r="H184" s="37">
        <f>VLOOKUP(F184,[1]PPNE6!$F$22:$N$266,9,FALSE)</f>
        <v>23966.211428571431</v>
      </c>
      <c r="I184" s="45">
        <f>I185</f>
        <v>0</v>
      </c>
      <c r="J184" s="39">
        <f t="shared" si="22"/>
        <v>23966.211428571431</v>
      </c>
      <c r="K184" s="46">
        <f>K185</f>
        <v>7.7046918929377456E-2</v>
      </c>
      <c r="L184" s="95">
        <f t="shared" si="23"/>
        <v>1997.1842857142858</v>
      </c>
      <c r="M184" s="95"/>
      <c r="N184" s="95">
        <f t="shared" si="21"/>
        <v>1997.1842857142858</v>
      </c>
    </row>
    <row r="185" spans="1:256" ht="12.75" x14ac:dyDescent="0.2">
      <c r="A185" s="15">
        <v>2</v>
      </c>
      <c r="B185" s="34">
        <v>3</v>
      </c>
      <c r="C185" s="34">
        <v>7</v>
      </c>
      <c r="D185" s="34">
        <v>2</v>
      </c>
      <c r="E185" s="34">
        <v>0.6</v>
      </c>
      <c r="F185" s="35" t="s">
        <v>187</v>
      </c>
      <c r="G185" s="36"/>
      <c r="H185" s="37">
        <f>VLOOKUP(F185,[1]PPNE6!$F$22:$N$266,9,FALSE)</f>
        <v>438762.85714285716</v>
      </c>
      <c r="I185" s="38"/>
      <c r="J185" s="39">
        <f t="shared" si="22"/>
        <v>438762.85714285716</v>
      </c>
      <c r="K185" s="40">
        <f>IFERROR(J185/$J$14*100,"0.00")</f>
        <v>7.7046918929377456E-2</v>
      </c>
      <c r="L185" s="95">
        <f t="shared" si="23"/>
        <v>36563.571428571428</v>
      </c>
      <c r="M185" s="95">
        <v>0</v>
      </c>
      <c r="N185" s="95">
        <f t="shared" si="21"/>
        <v>36563.571428571428</v>
      </c>
    </row>
    <row r="186" spans="1:256" s="96" customFormat="1" ht="12.75" x14ac:dyDescent="0.2">
      <c r="A186" s="15">
        <v>2</v>
      </c>
      <c r="B186" s="31">
        <v>3</v>
      </c>
      <c r="C186" s="31">
        <v>9</v>
      </c>
      <c r="D186" s="31"/>
      <c r="E186" s="31"/>
      <c r="F186" s="32" t="s">
        <v>188</v>
      </c>
      <c r="G186" s="26">
        <f>G187</f>
        <v>0</v>
      </c>
      <c r="H186" s="48">
        <f>VLOOKUP(F186,[1]PPNE6!$F$22:$N$266,9,FALSE)</f>
        <v>48681819.622857139</v>
      </c>
      <c r="I186" s="28">
        <f>I187</f>
        <v>0</v>
      </c>
      <c r="J186" s="43">
        <f t="shared" si="22"/>
        <v>48681819.622857139</v>
      </c>
      <c r="K186" s="30">
        <f>K187</f>
        <v>0</v>
      </c>
      <c r="L186" s="99">
        <f>L187+L189+L190+L191+L192+L193+L194+L195</f>
        <v>4056818.3019047622</v>
      </c>
      <c r="M186" s="99">
        <f>M187+M189+M190+M191+M192+M193+M194+M195</f>
        <v>2825024.9</v>
      </c>
      <c r="N186" s="99">
        <f t="shared" si="21"/>
        <v>1231793.4019047623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1:256" s="96" customFormat="1" ht="12.75" x14ac:dyDescent="0.2">
      <c r="A187" s="15">
        <v>2</v>
      </c>
      <c r="B187" s="31">
        <v>3</v>
      </c>
      <c r="C187" s="31">
        <v>9</v>
      </c>
      <c r="D187" s="31">
        <v>1</v>
      </c>
      <c r="E187" s="31"/>
      <c r="F187" s="32" t="s">
        <v>189</v>
      </c>
      <c r="G187" s="51"/>
      <c r="H187" s="48">
        <f>VLOOKUP(F187,[1]PPNE6!$F$22:$N$266,9,FALSE)</f>
        <v>0</v>
      </c>
      <c r="I187" s="52"/>
      <c r="J187" s="33">
        <f t="shared" si="22"/>
        <v>0</v>
      </c>
      <c r="K187" s="53">
        <f>IFERROR(J187/$J$14*100,"0.00")</f>
        <v>0</v>
      </c>
      <c r="L187" s="97">
        <f>SUM(L188)</f>
        <v>69206.648571428566</v>
      </c>
      <c r="M187" s="97">
        <f>SUM(M188)</f>
        <v>120266.67</v>
      </c>
      <c r="N187" s="97">
        <f t="shared" si="21"/>
        <v>-51060.021428571432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1:256" ht="12.75" x14ac:dyDescent="0.2">
      <c r="A188" s="15">
        <v>2</v>
      </c>
      <c r="B188" s="34">
        <v>3</v>
      </c>
      <c r="C188" s="34">
        <v>9</v>
      </c>
      <c r="D188" s="34">
        <v>1</v>
      </c>
      <c r="E188" s="34">
        <v>0.1</v>
      </c>
      <c r="F188" s="35" t="s">
        <v>190</v>
      </c>
      <c r="G188" s="47">
        <f>SUM(G189:G191)</f>
        <v>0</v>
      </c>
      <c r="H188" s="37">
        <f>VLOOKUP(F188,[1]PPNE6!$F$22:$N$266,9,FALSE)</f>
        <v>830479.78285714285</v>
      </c>
      <c r="I188" s="45">
        <f>SUM(I189:I191)</f>
        <v>0</v>
      </c>
      <c r="J188" s="39">
        <f t="shared" si="22"/>
        <v>830479.78285714285</v>
      </c>
      <c r="K188" s="46">
        <f>SUM(K189:K191)</f>
        <v>7.4367509905948337</v>
      </c>
      <c r="L188" s="95">
        <f t="shared" ref="L188:L195" si="24">J188/12</f>
        <v>69206.648571428566</v>
      </c>
      <c r="M188" s="95">
        <v>120266.67</v>
      </c>
      <c r="N188" s="95">
        <f t="shared" si="21"/>
        <v>-51060.021428571432</v>
      </c>
    </row>
    <row r="189" spans="1:256" ht="12.75" x14ac:dyDescent="0.2">
      <c r="A189" s="15">
        <v>2</v>
      </c>
      <c r="B189" s="34">
        <v>3</v>
      </c>
      <c r="C189" s="34">
        <v>9</v>
      </c>
      <c r="D189" s="34">
        <v>2</v>
      </c>
      <c r="E189" s="34">
        <v>0.1</v>
      </c>
      <c r="F189" s="35" t="s">
        <v>191</v>
      </c>
      <c r="G189" s="36"/>
      <c r="H189" s="37">
        <f>VLOOKUP(F189,[1]PPNE6!$F$22:$N$266,9,FALSE)</f>
        <v>480485.4</v>
      </c>
      <c r="I189" s="38"/>
      <c r="J189" s="39">
        <f t="shared" si="22"/>
        <v>480485.4</v>
      </c>
      <c r="K189" s="40">
        <f>IFERROR(J189/$J$14*100,"0.00")</f>
        <v>8.4373412785248944E-2</v>
      </c>
      <c r="L189" s="95">
        <f t="shared" si="24"/>
        <v>40040.450000000004</v>
      </c>
      <c r="M189" s="95">
        <v>267779.03999999998</v>
      </c>
      <c r="N189" s="95">
        <f t="shared" si="21"/>
        <v>-227738.58999999997</v>
      </c>
    </row>
    <row r="190" spans="1:256" ht="12.75" x14ac:dyDescent="0.2">
      <c r="A190" s="15">
        <v>2</v>
      </c>
      <c r="B190" s="34">
        <v>3</v>
      </c>
      <c r="C190" s="34">
        <v>9</v>
      </c>
      <c r="D190" s="34">
        <v>3</v>
      </c>
      <c r="E190" s="34">
        <v>0.1</v>
      </c>
      <c r="F190" s="35" t="s">
        <v>192</v>
      </c>
      <c r="G190" s="36"/>
      <c r="H190" s="37">
        <f>VLOOKUP(F190,[1]PPNE6!$F$22:$N$266,9,FALSE)</f>
        <v>41869944.154285714</v>
      </c>
      <c r="I190" s="38"/>
      <c r="J190" s="39">
        <f t="shared" si="22"/>
        <v>41869944.154285714</v>
      </c>
      <c r="K190" s="40">
        <f>IFERROR(J190/$J$14*100,"0.00")</f>
        <v>7.3523775778095848</v>
      </c>
      <c r="L190" s="95">
        <f t="shared" si="24"/>
        <v>3489162.0128571428</v>
      </c>
      <c r="M190" s="95">
        <v>2398694.92</v>
      </c>
      <c r="N190" s="95">
        <f t="shared" si="21"/>
        <v>1090467.0928571429</v>
      </c>
    </row>
    <row r="191" spans="1:256" ht="12.75" x14ac:dyDescent="0.2">
      <c r="A191" s="15">
        <v>2</v>
      </c>
      <c r="B191" s="34">
        <v>3</v>
      </c>
      <c r="C191" s="34">
        <v>9</v>
      </c>
      <c r="D191" s="34">
        <v>5</v>
      </c>
      <c r="E191" s="34">
        <v>0.1</v>
      </c>
      <c r="F191" s="35" t="s">
        <v>193</v>
      </c>
      <c r="G191" s="36"/>
      <c r="H191" s="37">
        <f>VLOOKUP(F191,[1]PPNE6!$F$22:$N$266,9,FALSE)</f>
        <v>0</v>
      </c>
      <c r="I191" s="38"/>
      <c r="J191" s="39">
        <f t="shared" si="22"/>
        <v>0</v>
      </c>
      <c r="K191" s="40">
        <f>IFERROR(J191/$J$14*100,"0.00")</f>
        <v>0</v>
      </c>
      <c r="L191" s="95">
        <f t="shared" si="24"/>
        <v>0</v>
      </c>
      <c r="M191" s="95">
        <v>0</v>
      </c>
      <c r="N191" s="95">
        <f t="shared" si="21"/>
        <v>0</v>
      </c>
    </row>
    <row r="192" spans="1:256" ht="12.75" x14ac:dyDescent="0.2">
      <c r="A192" s="15">
        <v>2</v>
      </c>
      <c r="B192" s="34">
        <v>3</v>
      </c>
      <c r="C192" s="34">
        <v>9</v>
      </c>
      <c r="D192" s="34">
        <v>6</v>
      </c>
      <c r="E192" s="34">
        <v>0.1</v>
      </c>
      <c r="F192" s="35" t="s">
        <v>194</v>
      </c>
      <c r="G192" s="47">
        <f>SUM(G193:G196)</f>
        <v>0</v>
      </c>
      <c r="H192" s="37">
        <f>VLOOKUP(F192,[1]PPNE6!$F$22:$N$266,9,FALSE)</f>
        <v>5500000</v>
      </c>
      <c r="I192" s="45">
        <f>SUM(I193:I196)</f>
        <v>0</v>
      </c>
      <c r="J192" s="39">
        <f t="shared" si="22"/>
        <v>5500000</v>
      </c>
      <c r="K192" s="46">
        <f>SUM(K193:K196)</f>
        <v>1.5984650589579569E-4</v>
      </c>
      <c r="L192" s="95">
        <f t="shared" si="24"/>
        <v>458333.33333333331</v>
      </c>
      <c r="M192" s="95">
        <v>30387.87</v>
      </c>
      <c r="N192" s="95">
        <f t="shared" si="21"/>
        <v>427945.46333333332</v>
      </c>
    </row>
    <row r="193" spans="1:256" ht="12.75" x14ac:dyDescent="0.2">
      <c r="A193" s="15">
        <v>2</v>
      </c>
      <c r="B193" s="34">
        <v>3</v>
      </c>
      <c r="C193" s="34">
        <v>9</v>
      </c>
      <c r="D193" s="34">
        <v>7</v>
      </c>
      <c r="E193" s="34">
        <v>0.1</v>
      </c>
      <c r="F193" s="35" t="s">
        <v>195</v>
      </c>
      <c r="G193" s="36"/>
      <c r="H193" s="37">
        <f>VLOOKUP(F193,[1]PPNE6!$F$22:$N$266,9,FALSE)</f>
        <v>0</v>
      </c>
      <c r="I193" s="38"/>
      <c r="J193" s="39">
        <f t="shared" si="22"/>
        <v>0</v>
      </c>
      <c r="K193" s="40">
        <f>IFERROR(J193/$J$14*100,"0.00")</f>
        <v>0</v>
      </c>
      <c r="L193" s="95">
        <f t="shared" si="24"/>
        <v>0</v>
      </c>
      <c r="M193" s="95"/>
      <c r="N193" s="95">
        <f t="shared" si="21"/>
        <v>0</v>
      </c>
    </row>
    <row r="194" spans="1:256" ht="12.75" x14ac:dyDescent="0.2">
      <c r="A194" s="15">
        <v>2</v>
      </c>
      <c r="B194" s="34">
        <v>3</v>
      </c>
      <c r="C194" s="34">
        <v>9</v>
      </c>
      <c r="D194" s="34">
        <v>8</v>
      </c>
      <c r="E194" s="34">
        <v>0.1</v>
      </c>
      <c r="F194" s="35" t="s">
        <v>196</v>
      </c>
      <c r="G194" s="36"/>
      <c r="H194" s="37">
        <f>VLOOKUP(F194,[1]PPNE6!$F$22:$N$266,9,FALSE)</f>
        <v>910.28571428571433</v>
      </c>
      <c r="I194" s="38"/>
      <c r="J194" s="39">
        <f t="shared" si="22"/>
        <v>910.28571428571433</v>
      </c>
      <c r="K194" s="40">
        <f>IFERROR(J194/$J$14*100,"0.00")</f>
        <v>1.5984650589579569E-4</v>
      </c>
      <c r="L194" s="95">
        <f t="shared" si="24"/>
        <v>75.857142857142861</v>
      </c>
      <c r="M194" s="95">
        <v>7896.4</v>
      </c>
      <c r="N194" s="95">
        <f t="shared" si="21"/>
        <v>-7820.5428571428565</v>
      </c>
    </row>
    <row r="195" spans="1:256" ht="12.75" x14ac:dyDescent="0.2">
      <c r="A195" s="15">
        <v>2</v>
      </c>
      <c r="B195" s="34">
        <v>3</v>
      </c>
      <c r="C195" s="34">
        <v>9</v>
      </c>
      <c r="D195" s="34">
        <v>9</v>
      </c>
      <c r="E195" s="34">
        <v>0.1</v>
      </c>
      <c r="F195" s="35" t="s">
        <v>197</v>
      </c>
      <c r="G195" s="36"/>
      <c r="H195" s="37">
        <f>VLOOKUP(F195,[1]PPNE6!$F$22:$N$266,9,FALSE)</f>
        <v>0</v>
      </c>
      <c r="I195" s="38"/>
      <c r="J195" s="39">
        <f t="shared" si="22"/>
        <v>0</v>
      </c>
      <c r="K195" s="40">
        <f>IFERROR(J195/$J$14*100,"0.00")</f>
        <v>0</v>
      </c>
      <c r="L195" s="95">
        <f t="shared" si="24"/>
        <v>0</v>
      </c>
      <c r="M195" s="95"/>
      <c r="N195" s="95">
        <f t="shared" si="21"/>
        <v>0</v>
      </c>
    </row>
    <row r="196" spans="1:256" ht="12.75" x14ac:dyDescent="0.2">
      <c r="A196" s="15">
        <v>2</v>
      </c>
      <c r="B196" s="16">
        <v>4</v>
      </c>
      <c r="C196" s="17"/>
      <c r="D196" s="17"/>
      <c r="E196" s="18"/>
      <c r="F196" s="94" t="s">
        <v>198</v>
      </c>
      <c r="G196" s="19"/>
      <c r="H196" s="20">
        <f>VLOOKUP(F196,[1]PPNE6!$F$22:$N$266,9,FALSE)</f>
        <v>0</v>
      </c>
      <c r="I196" s="21"/>
      <c r="J196" s="77">
        <f t="shared" si="22"/>
        <v>0</v>
      </c>
      <c r="K196" s="78">
        <f>IFERROR(J196/$J$14*100,"0.00")</f>
        <v>0</v>
      </c>
      <c r="L196" s="105">
        <f>L197</f>
        <v>0</v>
      </c>
      <c r="M196" s="105">
        <f>M197</f>
        <v>1410000</v>
      </c>
      <c r="N196" s="105">
        <f t="shared" si="21"/>
        <v>-1410000</v>
      </c>
    </row>
    <row r="197" spans="1:256" s="96" customFormat="1" ht="12.75" x14ac:dyDescent="0.2">
      <c r="A197" s="15">
        <v>2</v>
      </c>
      <c r="B197" s="23">
        <v>4</v>
      </c>
      <c r="C197" s="24">
        <v>1</v>
      </c>
      <c r="D197" s="24"/>
      <c r="E197" s="25"/>
      <c r="F197" s="102" t="s">
        <v>199</v>
      </c>
      <c r="G197" s="26">
        <f>SUM(G198:G204)</f>
        <v>0</v>
      </c>
      <c r="H197" s="27">
        <f>VLOOKUP(F197,[1]PPNE6!$F$22:$N$266,9,FALSE)</f>
        <v>0</v>
      </c>
      <c r="I197" s="28">
        <f>SUM(I198:I204)</f>
        <v>0</v>
      </c>
      <c r="J197" s="29">
        <f t="shared" si="22"/>
        <v>0</v>
      </c>
      <c r="K197" s="30">
        <f>SUM(K198:K204)</f>
        <v>0</v>
      </c>
      <c r="L197" s="97">
        <f>L198</f>
        <v>0</v>
      </c>
      <c r="M197" s="97">
        <f>M198+M199</f>
        <v>1410000</v>
      </c>
      <c r="N197" s="97">
        <f t="shared" si="21"/>
        <v>-1410000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1:256" ht="12.75" x14ac:dyDescent="0.2">
      <c r="A198" s="15">
        <v>2</v>
      </c>
      <c r="B198" s="34">
        <v>4</v>
      </c>
      <c r="C198" s="34">
        <v>1</v>
      </c>
      <c r="D198" s="34">
        <v>2</v>
      </c>
      <c r="E198" s="34"/>
      <c r="F198" s="49" t="s">
        <v>200</v>
      </c>
      <c r="G198" s="36"/>
      <c r="H198" s="37">
        <f>VLOOKUP(F198,[1]PPNE6!$F$22:$N$266,9,FALSE)</f>
        <v>0</v>
      </c>
      <c r="I198" s="38"/>
      <c r="J198" s="39">
        <f t="shared" si="22"/>
        <v>0</v>
      </c>
      <c r="K198" s="40">
        <f>IFERROR(J198/$J$14*100,"0.00")</f>
        <v>0</v>
      </c>
      <c r="L198" s="95">
        <f>L200</f>
        <v>0</v>
      </c>
      <c r="M198" s="95"/>
      <c r="N198" s="95">
        <f t="shared" si="21"/>
        <v>0</v>
      </c>
    </row>
    <row r="199" spans="1:256" ht="22.5" x14ac:dyDescent="0.2">
      <c r="A199" s="15">
        <v>2</v>
      </c>
      <c r="B199" s="34">
        <v>4</v>
      </c>
      <c r="C199" s="34">
        <v>1</v>
      </c>
      <c r="D199" s="34">
        <v>6</v>
      </c>
      <c r="E199" s="34">
        <v>0.1</v>
      </c>
      <c r="F199" s="79" t="s">
        <v>201</v>
      </c>
      <c r="G199" s="36"/>
      <c r="H199" s="37"/>
      <c r="I199" s="38"/>
      <c r="J199" s="39">
        <v>0</v>
      </c>
      <c r="K199" s="40"/>
      <c r="L199" s="95"/>
      <c r="M199" s="95">
        <v>1410000</v>
      </c>
      <c r="N199" s="95"/>
    </row>
    <row r="200" spans="1:256" ht="12.75" x14ac:dyDescent="0.2">
      <c r="A200" s="15">
        <v>2</v>
      </c>
      <c r="B200" s="34">
        <v>4</v>
      </c>
      <c r="C200" s="34">
        <v>2</v>
      </c>
      <c r="D200" s="34">
        <v>1</v>
      </c>
      <c r="E200" s="34">
        <v>0.1</v>
      </c>
      <c r="F200" s="35" t="s">
        <v>202</v>
      </c>
      <c r="G200" s="36"/>
      <c r="H200" s="37">
        <f>VLOOKUP(F200,[1]PPNE6!$F$22:$N$266,9,FALSE)</f>
        <v>0</v>
      </c>
      <c r="I200" s="38"/>
      <c r="J200" s="39">
        <f t="shared" ref="J200:J231" si="25">SUBTOTAL(9,G200:I200)</f>
        <v>0</v>
      </c>
      <c r="K200" s="40">
        <f>IFERROR(J200/$J$14*100,"0.00")</f>
        <v>0</v>
      </c>
      <c r="L200" s="95">
        <f>J200/12</f>
        <v>0</v>
      </c>
      <c r="M200" s="95"/>
      <c r="N200" s="95">
        <f t="shared" ref="N200:N231" si="26">L200-M200</f>
        <v>0</v>
      </c>
    </row>
    <row r="201" spans="1:256" ht="12.75" x14ac:dyDescent="0.2">
      <c r="A201" s="15">
        <v>2</v>
      </c>
      <c r="B201" s="16">
        <v>5</v>
      </c>
      <c r="C201" s="17"/>
      <c r="D201" s="17"/>
      <c r="E201" s="18"/>
      <c r="F201" s="94" t="s">
        <v>203</v>
      </c>
      <c r="G201" s="19"/>
      <c r="H201" s="20">
        <f>VLOOKUP(F201,[1]PPNE6!$F$22:$N$266,9,FALSE)</f>
        <v>0</v>
      </c>
      <c r="I201" s="21"/>
      <c r="J201" s="22">
        <f t="shared" si="25"/>
        <v>0</v>
      </c>
      <c r="K201" s="14">
        <f>IFERROR(J201/$J$14*100,"0.00")</f>
        <v>0</v>
      </c>
      <c r="L201" s="93">
        <f>L202</f>
        <v>0</v>
      </c>
      <c r="M201" s="93"/>
      <c r="N201" s="93">
        <f t="shared" si="26"/>
        <v>0</v>
      </c>
    </row>
    <row r="202" spans="1:256" s="96" customFormat="1" ht="12.75" x14ac:dyDescent="0.2">
      <c r="A202" s="15">
        <v>2</v>
      </c>
      <c r="B202" s="23">
        <v>5</v>
      </c>
      <c r="C202" s="24">
        <v>1</v>
      </c>
      <c r="D202" s="24"/>
      <c r="E202" s="25"/>
      <c r="F202" s="102" t="s">
        <v>204</v>
      </c>
      <c r="G202" s="26"/>
      <c r="H202" s="27">
        <f>VLOOKUP(F202,[1]PPNE6!$F$22:$N$266,9,FALSE)</f>
        <v>0</v>
      </c>
      <c r="I202" s="28"/>
      <c r="J202" s="29">
        <f t="shared" si="25"/>
        <v>0</v>
      </c>
      <c r="K202" s="30">
        <f>IFERROR(J202/$J$14*100,"0.00")</f>
        <v>0</v>
      </c>
      <c r="L202" s="97">
        <f>L203+L204+L206</f>
        <v>0</v>
      </c>
      <c r="M202" s="97"/>
      <c r="N202" s="97">
        <f t="shared" si="26"/>
        <v>0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1:256" ht="22.5" x14ac:dyDescent="0.2">
      <c r="A203" s="15">
        <v>2</v>
      </c>
      <c r="B203" s="80">
        <v>5</v>
      </c>
      <c r="C203" s="80">
        <v>1</v>
      </c>
      <c r="D203" s="80">
        <v>1</v>
      </c>
      <c r="E203" s="80" t="s">
        <v>205</v>
      </c>
      <c r="F203" s="104" t="s">
        <v>206</v>
      </c>
      <c r="G203" s="36"/>
      <c r="H203" s="37">
        <f>VLOOKUP(F203,[1]PPNE6!$F$22:$N$266,9,FALSE)</f>
        <v>0</v>
      </c>
      <c r="I203" s="38"/>
      <c r="J203" s="39">
        <f t="shared" si="25"/>
        <v>0</v>
      </c>
      <c r="K203" s="40">
        <f>IFERROR(J203/$J$14*100,"0.00")</f>
        <v>0</v>
      </c>
      <c r="L203" s="95">
        <f>J203/12</f>
        <v>0</v>
      </c>
      <c r="M203" s="95"/>
      <c r="N203" s="95">
        <f t="shared" si="26"/>
        <v>0</v>
      </c>
    </row>
    <row r="204" spans="1:256" ht="22.5" x14ac:dyDescent="0.2">
      <c r="A204" s="15">
        <v>2</v>
      </c>
      <c r="B204" s="81">
        <v>5</v>
      </c>
      <c r="C204" s="81">
        <v>1</v>
      </c>
      <c r="D204" s="81">
        <v>2</v>
      </c>
      <c r="E204" s="81"/>
      <c r="F204" s="103" t="s">
        <v>207</v>
      </c>
      <c r="G204" s="36"/>
      <c r="H204" s="37">
        <f>VLOOKUP(F204,[1]PPNE6!$F$22:$N$266,9,FALSE)</f>
        <v>0</v>
      </c>
      <c r="I204" s="38"/>
      <c r="J204" s="39">
        <f t="shared" si="25"/>
        <v>0</v>
      </c>
      <c r="K204" s="40">
        <f>IFERROR(J204/$J$14*100,"0.00")</f>
        <v>0</v>
      </c>
      <c r="L204" s="95">
        <f>L205</f>
        <v>0</v>
      </c>
      <c r="M204" s="95"/>
      <c r="N204" s="95">
        <f t="shared" si="26"/>
        <v>0</v>
      </c>
    </row>
    <row r="205" spans="1:256" ht="22.5" x14ac:dyDescent="0.2">
      <c r="A205" s="15">
        <v>2</v>
      </c>
      <c r="B205" s="82">
        <v>5</v>
      </c>
      <c r="C205" s="82">
        <v>1</v>
      </c>
      <c r="D205" s="82">
        <v>2</v>
      </c>
      <c r="E205" s="82" t="s">
        <v>205</v>
      </c>
      <c r="F205" s="100" t="s">
        <v>207</v>
      </c>
      <c r="G205" s="47">
        <f>SUM(G206:G208)</f>
        <v>0</v>
      </c>
      <c r="H205" s="37">
        <f>VLOOKUP(F205,[1]PPNE6!$F$22:$N$266,9,FALSE)</f>
        <v>0</v>
      </c>
      <c r="I205" s="45">
        <f>SUM(I206:I208)</f>
        <v>0</v>
      </c>
      <c r="J205" s="39">
        <f t="shared" si="25"/>
        <v>0</v>
      </c>
      <c r="K205" s="46">
        <f>SUM(K206:K208)</f>
        <v>16.653535225450462</v>
      </c>
      <c r="L205" s="95">
        <f>J205/12</f>
        <v>0</v>
      </c>
      <c r="M205" s="95"/>
      <c r="N205" s="95">
        <f t="shared" si="26"/>
        <v>0</v>
      </c>
    </row>
    <row r="206" spans="1:256" ht="22.5" x14ac:dyDescent="0.2">
      <c r="A206" s="15">
        <v>2</v>
      </c>
      <c r="B206" s="81">
        <v>5</v>
      </c>
      <c r="C206" s="81">
        <v>1</v>
      </c>
      <c r="D206" s="81">
        <v>3</v>
      </c>
      <c r="E206" s="81"/>
      <c r="F206" s="103" t="s">
        <v>208</v>
      </c>
      <c r="G206" s="36"/>
      <c r="H206" s="37">
        <f>VLOOKUP(F206,[1]PPNE6!$F$22:$N$266,9,FALSE)</f>
        <v>0</v>
      </c>
      <c r="I206" s="38"/>
      <c r="J206" s="39">
        <f t="shared" si="25"/>
        <v>0</v>
      </c>
      <c r="K206" s="40">
        <f>IFERROR(J206/$J$14*100,"0.00")</f>
        <v>0</v>
      </c>
      <c r="L206" s="95">
        <f>L207</f>
        <v>0</v>
      </c>
      <c r="M206" s="95"/>
      <c r="N206" s="95">
        <f t="shared" si="26"/>
        <v>0</v>
      </c>
    </row>
    <row r="207" spans="1:256" ht="22.5" x14ac:dyDescent="0.2">
      <c r="A207" s="15">
        <v>2</v>
      </c>
      <c r="B207" s="82">
        <v>5</v>
      </c>
      <c r="C207" s="82">
        <v>1</v>
      </c>
      <c r="D207" s="82">
        <v>3</v>
      </c>
      <c r="E207" s="82" t="s">
        <v>205</v>
      </c>
      <c r="F207" s="100" t="s">
        <v>208</v>
      </c>
      <c r="G207" s="36"/>
      <c r="H207" s="37">
        <f>VLOOKUP(F207,[1]PPNE6!$F$22:$N$266,9,FALSE)</f>
        <v>0</v>
      </c>
      <c r="I207" s="38"/>
      <c r="J207" s="39">
        <f t="shared" si="25"/>
        <v>0</v>
      </c>
      <c r="K207" s="40">
        <f>IFERROR(J207/$J$14*100,"0.00")</f>
        <v>0</v>
      </c>
      <c r="L207" s="95">
        <f>J207/12</f>
        <v>0</v>
      </c>
      <c r="M207" s="95"/>
      <c r="N207" s="95">
        <f t="shared" si="26"/>
        <v>0</v>
      </c>
    </row>
    <row r="208" spans="1:256" ht="12.75" x14ac:dyDescent="0.2">
      <c r="A208" s="15">
        <v>2</v>
      </c>
      <c r="B208" s="16">
        <v>6</v>
      </c>
      <c r="C208" s="17"/>
      <c r="D208" s="17"/>
      <c r="E208" s="18"/>
      <c r="F208" s="94" t="s">
        <v>209</v>
      </c>
      <c r="G208" s="19"/>
      <c r="H208" s="20">
        <f>+H209+H216+H221+H225+H229+H239+H244+H246+H253</f>
        <v>94837701.475714296</v>
      </c>
      <c r="I208" s="21"/>
      <c r="J208" s="22">
        <f t="shared" si="25"/>
        <v>94837701.475714296</v>
      </c>
      <c r="K208" s="14">
        <f>IFERROR(J208/$J$14*100,"0.00")</f>
        <v>16.653535225450462</v>
      </c>
      <c r="L208" s="93">
        <f>L209+L216+L225+L229+L239+L244+L246+L253</f>
        <v>3261131.331904762</v>
      </c>
      <c r="M208" s="93">
        <f>M209+M216+M221+M225+M229+M239+M244+M246+M253</f>
        <v>131340.29999999999</v>
      </c>
      <c r="N208" s="93">
        <f t="shared" si="26"/>
        <v>3129791.0319047621</v>
      </c>
    </row>
    <row r="209" spans="1:256" s="96" customFormat="1" ht="12.75" x14ac:dyDescent="0.2">
      <c r="A209" s="15">
        <v>2</v>
      </c>
      <c r="B209" s="23">
        <v>6</v>
      </c>
      <c r="C209" s="24">
        <v>1</v>
      </c>
      <c r="D209" s="24"/>
      <c r="E209" s="25"/>
      <c r="F209" s="102" t="s">
        <v>210</v>
      </c>
      <c r="G209" s="26">
        <f>SUM(G210:G214)</f>
        <v>0</v>
      </c>
      <c r="H209" s="27">
        <f>VLOOKUP(F209,[1]PPNE6!$F$22:$N$266,9,FALSE)</f>
        <v>7645278.6285714284</v>
      </c>
      <c r="I209" s="28">
        <f>SUM(I210:I214)</f>
        <v>0</v>
      </c>
      <c r="J209" s="29">
        <f t="shared" si="25"/>
        <v>7645278.6285714284</v>
      </c>
      <c r="K209" s="30">
        <f>SUM(K210:K214)</f>
        <v>2.1582263702864877</v>
      </c>
      <c r="L209" s="97">
        <f>L210+L212+L213+L214+L215</f>
        <v>637106.5523809524</v>
      </c>
      <c r="M209" s="97">
        <f>M210+M211+M212+M213+M214+M215</f>
        <v>1869.12</v>
      </c>
      <c r="N209" s="97">
        <f t="shared" si="26"/>
        <v>635237.43238095241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ht="12.75" x14ac:dyDescent="0.2">
      <c r="A210" s="15">
        <v>2</v>
      </c>
      <c r="B210" s="34">
        <v>6</v>
      </c>
      <c r="C210" s="34">
        <v>1</v>
      </c>
      <c r="D210" s="34">
        <v>1</v>
      </c>
      <c r="E210" s="34"/>
      <c r="F210" s="49" t="s">
        <v>211</v>
      </c>
      <c r="G210" s="36"/>
      <c r="H210" s="37">
        <f>VLOOKUP(F210,[1]PPNE6!$F$22:$N$266,9,FALSE)</f>
        <v>7645278.6285714284</v>
      </c>
      <c r="I210" s="38"/>
      <c r="J210" s="39">
        <f t="shared" si="25"/>
        <v>7645278.6285714284</v>
      </c>
      <c r="K210" s="40">
        <f>IFERROR(J210/$J$14*100,"0.00")</f>
        <v>1.3425137362897999</v>
      </c>
      <c r="L210" s="95">
        <f>L211</f>
        <v>16950</v>
      </c>
      <c r="M210" s="95"/>
      <c r="N210" s="95">
        <f t="shared" si="26"/>
        <v>16950</v>
      </c>
    </row>
    <row r="211" spans="1:256" ht="12.75" x14ac:dyDescent="0.2">
      <c r="A211" s="15">
        <v>2</v>
      </c>
      <c r="B211" s="34">
        <v>6</v>
      </c>
      <c r="C211" s="34">
        <v>1</v>
      </c>
      <c r="D211" s="34">
        <v>1</v>
      </c>
      <c r="E211" s="34">
        <v>0.1</v>
      </c>
      <c r="F211" s="35" t="s">
        <v>212</v>
      </c>
      <c r="G211" s="36"/>
      <c r="H211" s="37">
        <f>VLOOKUP(F211,[1]PPNE6!$F$22:$N$266,9,FALSE)</f>
        <v>203400</v>
      </c>
      <c r="I211" s="38"/>
      <c r="J211" s="39">
        <f t="shared" si="25"/>
        <v>203400</v>
      </c>
      <c r="K211" s="40">
        <f>IFERROR(J211/$J$14*100,"0.00")</f>
        <v>3.5717114735472989E-2</v>
      </c>
      <c r="L211" s="95">
        <f>J211/12</f>
        <v>16950</v>
      </c>
      <c r="M211" s="95">
        <v>0</v>
      </c>
      <c r="N211" s="95">
        <f t="shared" si="26"/>
        <v>16950</v>
      </c>
    </row>
    <row r="212" spans="1:256" ht="12.75" x14ac:dyDescent="0.2">
      <c r="A212" s="15">
        <v>2</v>
      </c>
      <c r="B212" s="34">
        <v>6</v>
      </c>
      <c r="C212" s="34">
        <v>1</v>
      </c>
      <c r="D212" s="34">
        <v>2</v>
      </c>
      <c r="E212" s="34">
        <v>0.1</v>
      </c>
      <c r="F212" s="35" t="s">
        <v>213</v>
      </c>
      <c r="G212" s="36"/>
      <c r="H212" s="37">
        <f>VLOOKUP(F212,[1]PPNE6!$F$22:$N$266,9,FALSE)</f>
        <v>150000</v>
      </c>
      <c r="I212" s="38"/>
      <c r="J212" s="39">
        <f t="shared" si="25"/>
        <v>150000</v>
      </c>
      <c r="K212" s="40">
        <f>IFERROR(J212/$J$14*100,"0.00")</f>
        <v>2.6340055114655599E-2</v>
      </c>
      <c r="L212" s="95">
        <f>J212/12</f>
        <v>12500</v>
      </c>
      <c r="M212" s="95"/>
      <c r="N212" s="95">
        <f t="shared" si="26"/>
        <v>12500</v>
      </c>
    </row>
    <row r="213" spans="1:256" ht="12.75" x14ac:dyDescent="0.2">
      <c r="A213" s="15">
        <v>2</v>
      </c>
      <c r="B213" s="34">
        <v>6</v>
      </c>
      <c r="C213" s="34">
        <v>1</v>
      </c>
      <c r="D213" s="34">
        <v>3</v>
      </c>
      <c r="E213" s="34">
        <v>0.1</v>
      </c>
      <c r="F213" s="35" t="s">
        <v>214</v>
      </c>
      <c r="G213" s="36"/>
      <c r="H213" s="37">
        <f>VLOOKUP(F213,[1]PPNE6!$F$22:$N$266,9,FALSE)</f>
        <v>4244000</v>
      </c>
      <c r="I213" s="38"/>
      <c r="J213" s="39">
        <f t="shared" si="25"/>
        <v>4244000</v>
      </c>
      <c r="K213" s="40">
        <f>IFERROR(J213/$J$14*100,"0.00")</f>
        <v>0.74524795937732236</v>
      </c>
      <c r="L213" s="95">
        <f>J213/12</f>
        <v>353666.66666666669</v>
      </c>
      <c r="M213" s="95">
        <v>1869.12</v>
      </c>
      <c r="N213" s="95">
        <f t="shared" si="26"/>
        <v>351797.54666666669</v>
      </c>
    </row>
    <row r="214" spans="1:256" ht="12.75" x14ac:dyDescent="0.2">
      <c r="A214" s="15">
        <v>2</v>
      </c>
      <c r="B214" s="34">
        <v>6</v>
      </c>
      <c r="C214" s="34">
        <v>1</v>
      </c>
      <c r="D214" s="34">
        <v>4</v>
      </c>
      <c r="E214" s="34">
        <v>0.1</v>
      </c>
      <c r="F214" s="35" t="s">
        <v>215</v>
      </c>
      <c r="G214" s="36"/>
      <c r="H214" s="37">
        <f>VLOOKUP(F214,[1]PPNE6!$F$22:$N$266,9,FALSE)</f>
        <v>47878.628571428577</v>
      </c>
      <c r="I214" s="38"/>
      <c r="J214" s="39">
        <f t="shared" si="25"/>
        <v>47878.628571428577</v>
      </c>
      <c r="K214" s="40">
        <f>IFERROR(J214/$J$14*100,"0.00")</f>
        <v>8.4075047692370192E-3</v>
      </c>
      <c r="L214" s="95">
        <f>J214/12</f>
        <v>3989.8857142857146</v>
      </c>
      <c r="M214" s="95">
        <v>0</v>
      </c>
      <c r="N214" s="95">
        <f t="shared" si="26"/>
        <v>3989.8857142857146</v>
      </c>
    </row>
    <row r="215" spans="1:256" ht="12.75" x14ac:dyDescent="0.2">
      <c r="A215" s="15">
        <v>2</v>
      </c>
      <c r="B215" s="34">
        <v>6</v>
      </c>
      <c r="C215" s="34">
        <v>1</v>
      </c>
      <c r="D215" s="34">
        <v>9</v>
      </c>
      <c r="E215" s="34">
        <v>0.1</v>
      </c>
      <c r="F215" s="35" t="s">
        <v>216</v>
      </c>
      <c r="G215" s="36"/>
      <c r="H215" s="37">
        <f>VLOOKUP(F215,[1]PPNE6!$F$22:$N$266,9,FALSE)</f>
        <v>3000000</v>
      </c>
      <c r="I215" s="38"/>
      <c r="J215" s="39">
        <f t="shared" si="25"/>
        <v>3000000</v>
      </c>
      <c r="K215" s="40"/>
      <c r="L215" s="95">
        <f>J215/12</f>
        <v>250000</v>
      </c>
      <c r="M215" s="95"/>
      <c r="N215" s="95">
        <f t="shared" si="26"/>
        <v>250000</v>
      </c>
    </row>
    <row r="216" spans="1:256" s="96" customFormat="1" ht="12.75" x14ac:dyDescent="0.2">
      <c r="A216" s="15">
        <v>2</v>
      </c>
      <c r="B216" s="31">
        <v>6</v>
      </c>
      <c r="C216" s="31">
        <v>2</v>
      </c>
      <c r="D216" s="31"/>
      <c r="E216" s="31"/>
      <c r="F216" s="32" t="s">
        <v>217</v>
      </c>
      <c r="G216" s="26">
        <f>+G217+G220+G222+G226</f>
        <v>0</v>
      </c>
      <c r="H216" s="48">
        <f>VLOOKUP(F216,[1]PPNE6!$F$22:$N$266,9,FALSE)</f>
        <v>22388.571428571428</v>
      </c>
      <c r="I216" s="28">
        <f>+I217+I220+I222+I226</f>
        <v>0</v>
      </c>
      <c r="J216" s="43">
        <f t="shared" si="25"/>
        <v>22388.571428571428</v>
      </c>
      <c r="K216" s="30">
        <f>+K217+K220+K222+K226</f>
        <v>18.723781308508002</v>
      </c>
      <c r="L216" s="99">
        <f>L217+L219+L220</f>
        <v>1865.7142857142856</v>
      </c>
      <c r="M216" s="99">
        <f>M217+M219+M220</f>
        <v>0</v>
      </c>
      <c r="N216" s="99">
        <f t="shared" si="26"/>
        <v>1865.7142857142856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s="96" customFormat="1" ht="12.75" x14ac:dyDescent="0.2">
      <c r="A217" s="15">
        <v>2</v>
      </c>
      <c r="B217" s="31">
        <v>6</v>
      </c>
      <c r="C217" s="31">
        <v>2</v>
      </c>
      <c r="D217" s="31">
        <v>1</v>
      </c>
      <c r="E217" s="31"/>
      <c r="F217" s="32" t="s">
        <v>218</v>
      </c>
      <c r="G217" s="26">
        <f>SUM(G218:G218)</f>
        <v>0</v>
      </c>
      <c r="H217" s="48">
        <f>VLOOKUP(F217,[1]PPNE6!$F$22:$N$266,9,FALSE)</f>
        <v>22388.571428571428</v>
      </c>
      <c r="I217" s="28">
        <f>SUM(I218:I218)</f>
        <v>0</v>
      </c>
      <c r="J217" s="33">
        <f t="shared" si="25"/>
        <v>22388.571428571428</v>
      </c>
      <c r="K217" s="30">
        <f>SUM(K218:K218)</f>
        <v>3.931441369113167E-3</v>
      </c>
      <c r="L217" s="97">
        <f>L218</f>
        <v>1865.7142857142856</v>
      </c>
      <c r="M217" s="97">
        <f>M218</f>
        <v>0</v>
      </c>
      <c r="N217" s="97">
        <f t="shared" si="26"/>
        <v>1865.7142857142856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ht="12.75" x14ac:dyDescent="0.2">
      <c r="A218" s="15">
        <v>2</v>
      </c>
      <c r="B218" s="34">
        <v>6</v>
      </c>
      <c r="C218" s="34">
        <v>2</v>
      </c>
      <c r="D218" s="34">
        <v>1</v>
      </c>
      <c r="E218" s="34">
        <v>0.1</v>
      </c>
      <c r="F218" s="35" t="s">
        <v>219</v>
      </c>
      <c r="G218" s="36"/>
      <c r="H218" s="37">
        <f>VLOOKUP(F218,[1]PPNE6!$F$22:$N$266,9,FALSE)</f>
        <v>22388.571428571428</v>
      </c>
      <c r="I218" s="38"/>
      <c r="J218" s="39">
        <f t="shared" si="25"/>
        <v>22388.571428571428</v>
      </c>
      <c r="K218" s="40">
        <f>IFERROR(J218/$J$14*100,"0.00")</f>
        <v>3.931441369113167E-3</v>
      </c>
      <c r="L218" s="95">
        <f>J218/12</f>
        <v>1865.7142857142856</v>
      </c>
      <c r="M218" s="95"/>
      <c r="N218" s="95">
        <f t="shared" si="26"/>
        <v>1865.7142857142856</v>
      </c>
    </row>
    <row r="219" spans="1:256" ht="12.75" x14ac:dyDescent="0.2">
      <c r="A219" s="15">
        <v>2</v>
      </c>
      <c r="B219" s="34">
        <v>6</v>
      </c>
      <c r="C219" s="34">
        <v>2</v>
      </c>
      <c r="D219" s="34">
        <v>2</v>
      </c>
      <c r="E219" s="34">
        <v>0.1</v>
      </c>
      <c r="F219" s="35" t="s">
        <v>220</v>
      </c>
      <c r="G219" s="63"/>
      <c r="H219" s="37">
        <f>VLOOKUP(F219,[1]PPNE6!$F$22:$N$266,9,FALSE)</f>
        <v>0</v>
      </c>
      <c r="I219" s="64"/>
      <c r="J219" s="39">
        <f t="shared" si="25"/>
        <v>0</v>
      </c>
      <c r="K219" s="40">
        <f>IFERROR(J219/$J$14*100,"0.00")</f>
        <v>0</v>
      </c>
      <c r="L219" s="95">
        <f>J219/12</f>
        <v>0</v>
      </c>
      <c r="M219" s="95"/>
      <c r="N219" s="95">
        <f t="shared" si="26"/>
        <v>0</v>
      </c>
    </row>
    <row r="220" spans="1:256" ht="12.75" x14ac:dyDescent="0.2">
      <c r="A220" s="15">
        <v>2</v>
      </c>
      <c r="B220" s="34">
        <v>6</v>
      </c>
      <c r="C220" s="34">
        <v>2</v>
      </c>
      <c r="D220" s="34">
        <v>3</v>
      </c>
      <c r="E220" s="34">
        <v>0.1</v>
      </c>
      <c r="F220" s="35" t="s">
        <v>221</v>
      </c>
      <c r="G220" s="69">
        <f>+G221</f>
        <v>0</v>
      </c>
      <c r="H220" s="37">
        <f>VLOOKUP(F220,[1]PPNE6!$F$22:$N$266,9,FALSE)</f>
        <v>0</v>
      </c>
      <c r="I220" s="70">
        <f>+I221</f>
        <v>0</v>
      </c>
      <c r="J220" s="39">
        <f t="shared" si="25"/>
        <v>0</v>
      </c>
      <c r="K220" s="71">
        <f>+K221</f>
        <v>8.6808491861315353</v>
      </c>
      <c r="L220" s="95">
        <f>J220/12</f>
        <v>0</v>
      </c>
      <c r="M220" s="95"/>
      <c r="N220" s="95">
        <f t="shared" si="26"/>
        <v>0</v>
      </c>
    </row>
    <row r="221" spans="1:256" s="96" customFormat="1" ht="12.75" x14ac:dyDescent="0.2">
      <c r="A221" s="15">
        <v>2</v>
      </c>
      <c r="B221" s="31">
        <v>6</v>
      </c>
      <c r="C221" s="31">
        <v>3</v>
      </c>
      <c r="D221" s="31"/>
      <c r="E221" s="31"/>
      <c r="F221" s="32" t="s">
        <v>222</v>
      </c>
      <c r="G221" s="60"/>
      <c r="H221" s="48">
        <f>VLOOKUP(F221,[1]PPNE6!$F$22:$N$266,9,FALSE)</f>
        <v>49435256.390000001</v>
      </c>
      <c r="I221" s="61"/>
      <c r="J221" s="43">
        <f t="shared" si="25"/>
        <v>49435256.390000001</v>
      </c>
      <c r="K221" s="62">
        <f>IFERROR(J221/$J$14*100,"0.00")</f>
        <v>8.6808491861315353</v>
      </c>
      <c r="L221" s="99">
        <f>L222+L224</f>
        <v>4119604.6991666667</v>
      </c>
      <c r="M221" s="99">
        <f>M222+M224</f>
        <v>0</v>
      </c>
      <c r="N221" s="99">
        <f t="shared" si="26"/>
        <v>4119604.6991666667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1:256" s="96" customFormat="1" ht="12.75" x14ac:dyDescent="0.2">
      <c r="A222" s="15">
        <v>2</v>
      </c>
      <c r="B222" s="31">
        <v>6</v>
      </c>
      <c r="C222" s="31">
        <v>3</v>
      </c>
      <c r="D222" s="31">
        <v>1</v>
      </c>
      <c r="E222" s="31"/>
      <c r="F222" s="32" t="s">
        <v>223</v>
      </c>
      <c r="G222" s="26">
        <f>SUM(G223:G225)</f>
        <v>0</v>
      </c>
      <c r="H222" s="48">
        <f>VLOOKUP(F222,[1]PPNE6!$F$22:$N$266,9,FALSE)</f>
        <v>49435256.390000001</v>
      </c>
      <c r="I222" s="28">
        <f>SUM(I223:I225)</f>
        <v>0</v>
      </c>
      <c r="J222" s="33">
        <f t="shared" si="25"/>
        <v>49435256.390000001</v>
      </c>
      <c r="K222" s="30">
        <f>SUM(K223:K225)</f>
        <v>10.039000681007355</v>
      </c>
      <c r="L222" s="97">
        <f>L223</f>
        <v>3904940.6391666667</v>
      </c>
      <c r="M222" s="97">
        <f>M223</f>
        <v>0</v>
      </c>
      <c r="N222" s="97">
        <f t="shared" si="26"/>
        <v>3904940.6391666667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pans="1:256" ht="12.75" x14ac:dyDescent="0.2">
      <c r="A223" s="15">
        <v>2</v>
      </c>
      <c r="B223" s="34">
        <v>6</v>
      </c>
      <c r="C223" s="34">
        <v>3</v>
      </c>
      <c r="D223" s="34">
        <v>1</v>
      </c>
      <c r="E223" s="34">
        <v>0.1</v>
      </c>
      <c r="F223" s="35" t="s">
        <v>224</v>
      </c>
      <c r="G223" s="36"/>
      <c r="H223" s="37">
        <f>VLOOKUP(F223,[1]PPNE6!$F$22:$N$266,9,FALSE)</f>
        <v>46859287.670000002</v>
      </c>
      <c r="I223" s="38"/>
      <c r="J223" s="39">
        <f t="shared" si="25"/>
        <v>46859287.670000002</v>
      </c>
      <c r="K223" s="40">
        <f>IFERROR(J223/$J$14*100,"0.00")</f>
        <v>8.2285081324086775</v>
      </c>
      <c r="L223" s="95">
        <f>J223/12</f>
        <v>3904940.6391666667</v>
      </c>
      <c r="M223" s="95"/>
      <c r="N223" s="95">
        <f t="shared" si="26"/>
        <v>3904940.6391666667</v>
      </c>
    </row>
    <row r="224" spans="1:256" ht="12.75" x14ac:dyDescent="0.2">
      <c r="A224" s="15">
        <v>2</v>
      </c>
      <c r="B224" s="34">
        <v>6</v>
      </c>
      <c r="C224" s="34">
        <v>3</v>
      </c>
      <c r="D224" s="34">
        <v>2</v>
      </c>
      <c r="E224" s="34">
        <v>0.1</v>
      </c>
      <c r="F224" s="35" t="s">
        <v>225</v>
      </c>
      <c r="G224" s="36"/>
      <c r="H224" s="37">
        <f>VLOOKUP(F224,[1]PPNE6!$F$22:$N$266,9,FALSE)</f>
        <v>2575968.7199999997</v>
      </c>
      <c r="I224" s="38"/>
      <c r="J224" s="39">
        <f t="shared" si="25"/>
        <v>2575968.7199999997</v>
      </c>
      <c r="K224" s="40">
        <f>IFERROR(J224/$J$14*100,"0.00")</f>
        <v>0.45234105372285882</v>
      </c>
      <c r="L224" s="95">
        <f>J224/12</f>
        <v>214664.05999999997</v>
      </c>
      <c r="M224" s="95"/>
      <c r="N224" s="95">
        <f t="shared" si="26"/>
        <v>214664.05999999997</v>
      </c>
    </row>
    <row r="225" spans="1:256" s="96" customFormat="1" ht="12.75" x14ac:dyDescent="0.2">
      <c r="A225" s="15">
        <v>2</v>
      </c>
      <c r="B225" s="31">
        <v>6</v>
      </c>
      <c r="C225" s="31">
        <v>4</v>
      </c>
      <c r="D225" s="31"/>
      <c r="E225" s="31"/>
      <c r="F225" s="32" t="s">
        <v>226</v>
      </c>
      <c r="G225" s="60"/>
      <c r="H225" s="48">
        <f>VLOOKUP(F225,[1]PPNE6!$F$22:$N$266,9,FALSE)</f>
        <v>7734331.7371428572</v>
      </c>
      <c r="I225" s="61"/>
      <c r="J225" s="43">
        <f t="shared" si="25"/>
        <v>7734331.7371428572</v>
      </c>
      <c r="K225" s="62">
        <f>IFERROR(J225/$J$14*100,"0.00")</f>
        <v>1.3581514948758189</v>
      </c>
      <c r="L225" s="99">
        <f>L226+L228</f>
        <v>358333.33333333331</v>
      </c>
      <c r="M225" s="99">
        <f>M226</f>
        <v>129471.18</v>
      </c>
      <c r="N225" s="99">
        <f t="shared" si="26"/>
        <v>228862.15333333332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pans="1:256" s="96" customFormat="1" ht="12.75" x14ac:dyDescent="0.2">
      <c r="A226" s="15">
        <v>2</v>
      </c>
      <c r="B226" s="31">
        <v>6</v>
      </c>
      <c r="C226" s="31">
        <v>4</v>
      </c>
      <c r="D226" s="31">
        <v>1</v>
      </c>
      <c r="E226" s="31"/>
      <c r="F226" s="32" t="s">
        <v>227</v>
      </c>
      <c r="G226" s="66">
        <f>+G227</f>
        <v>0</v>
      </c>
      <c r="H226" s="48">
        <f>VLOOKUP(F226,[1]PPNE6!$F$22:$N$266,9,FALSE)</f>
        <v>0</v>
      </c>
      <c r="I226" s="67">
        <f>+I227</f>
        <v>0</v>
      </c>
      <c r="J226" s="33">
        <f t="shared" si="25"/>
        <v>0</v>
      </c>
      <c r="K226" s="68">
        <f>+K227</f>
        <v>0</v>
      </c>
      <c r="L226" s="97">
        <f>L227</f>
        <v>0</v>
      </c>
      <c r="M226" s="97">
        <f>M227+M228</f>
        <v>129471.18</v>
      </c>
      <c r="N226" s="97">
        <f t="shared" si="26"/>
        <v>-129471.18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pans="1:256" ht="12.75" x14ac:dyDescent="0.2">
      <c r="A227" s="15">
        <v>2</v>
      </c>
      <c r="B227" s="34">
        <v>6</v>
      </c>
      <c r="C227" s="34">
        <v>4</v>
      </c>
      <c r="D227" s="34">
        <v>1</v>
      </c>
      <c r="E227" s="34">
        <v>0.1</v>
      </c>
      <c r="F227" s="35" t="s">
        <v>227</v>
      </c>
      <c r="G227" s="63"/>
      <c r="H227" s="37">
        <f>VLOOKUP(F227,[1]PPNE6!$F$22:$N$266,9,FALSE)</f>
        <v>0</v>
      </c>
      <c r="I227" s="64"/>
      <c r="J227" s="39">
        <f t="shared" si="25"/>
        <v>0</v>
      </c>
      <c r="K227" s="40">
        <f>IFERROR(J227/$J$14*100,"0.00")</f>
        <v>0</v>
      </c>
      <c r="L227" s="95">
        <f>J227/12</f>
        <v>0</v>
      </c>
      <c r="M227" s="95"/>
      <c r="N227" s="95">
        <f t="shared" si="26"/>
        <v>0</v>
      </c>
    </row>
    <row r="228" spans="1:256" ht="12.75" x14ac:dyDescent="0.2">
      <c r="A228" s="15">
        <v>2</v>
      </c>
      <c r="B228" s="34">
        <v>6</v>
      </c>
      <c r="C228" s="34">
        <v>4</v>
      </c>
      <c r="D228" s="34">
        <v>8</v>
      </c>
      <c r="E228" s="34">
        <v>0.1</v>
      </c>
      <c r="F228" s="35" t="s">
        <v>228</v>
      </c>
      <c r="G228" s="36">
        <f>+G229+G231+G233+G235</f>
        <v>0</v>
      </c>
      <c r="H228" s="37">
        <f>VLOOKUP(F228,[1]PPNE6!$F$22:$N$266,9,FALSE)</f>
        <v>4300000</v>
      </c>
      <c r="I228" s="38">
        <f>+I229+I231+I233+I235</f>
        <v>0</v>
      </c>
      <c r="J228" s="39">
        <f t="shared" si="25"/>
        <v>4300000</v>
      </c>
      <c r="K228" s="30">
        <f>+K229+K231+K233+K235</f>
        <v>4.4454828841203389</v>
      </c>
      <c r="L228" s="95">
        <f>J228/12</f>
        <v>358333.33333333331</v>
      </c>
      <c r="M228" s="95">
        <v>129471.18</v>
      </c>
      <c r="N228" s="95">
        <f t="shared" si="26"/>
        <v>228862.15333333332</v>
      </c>
    </row>
    <row r="229" spans="1:256" s="96" customFormat="1" ht="12.75" x14ac:dyDescent="0.2">
      <c r="A229" s="15">
        <v>2</v>
      </c>
      <c r="B229" s="31">
        <v>6</v>
      </c>
      <c r="C229" s="31">
        <v>5</v>
      </c>
      <c r="D229" s="31"/>
      <c r="E229" s="31"/>
      <c r="F229" s="32" t="s">
        <v>229</v>
      </c>
      <c r="G229" s="66">
        <f>+G230</f>
        <v>0</v>
      </c>
      <c r="H229" s="48">
        <f>VLOOKUP(F229,[1]PPNE6!$F$22:$N$266,9,FALSE)</f>
        <v>27751817.565714285</v>
      </c>
      <c r="I229" s="67">
        <f>+I230</f>
        <v>0</v>
      </c>
      <c r="J229" s="43">
        <f t="shared" si="25"/>
        <v>27751817.565714285</v>
      </c>
      <c r="K229" s="68">
        <f>+K230</f>
        <v>0</v>
      </c>
      <c r="L229" s="99">
        <f>L230+L232+L234+L235+L236+L237+L238</f>
        <v>2209659.0652380954</v>
      </c>
      <c r="M229" s="99">
        <f>M230+M232+M234+M235+M236+M237+M238</f>
        <v>0</v>
      </c>
      <c r="N229" s="99">
        <f t="shared" si="26"/>
        <v>2209659.0652380954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pans="1:256" s="96" customFormat="1" ht="12.75" x14ac:dyDescent="0.2">
      <c r="A230" s="15">
        <v>2</v>
      </c>
      <c r="B230" s="31">
        <v>6</v>
      </c>
      <c r="C230" s="31">
        <v>5</v>
      </c>
      <c r="D230" s="31">
        <v>1</v>
      </c>
      <c r="E230" s="31"/>
      <c r="F230" s="50" t="s">
        <v>230</v>
      </c>
      <c r="G230" s="60"/>
      <c r="H230" s="48">
        <f>VLOOKUP(F230,[1]PPNE6!$F$22:$N$266,9,FALSE)</f>
        <v>0</v>
      </c>
      <c r="I230" s="61"/>
      <c r="J230" s="33">
        <f t="shared" si="25"/>
        <v>0</v>
      </c>
      <c r="K230" s="53">
        <f>IFERROR(J230/$J$14*100,"0.00")</f>
        <v>0</v>
      </c>
      <c r="L230" s="97">
        <f>L231</f>
        <v>0</v>
      </c>
      <c r="M230" s="97">
        <f>M231</f>
        <v>0</v>
      </c>
      <c r="N230" s="97">
        <f t="shared" si="26"/>
        <v>0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pans="1:256" ht="12.75" x14ac:dyDescent="0.2">
      <c r="A231" s="15">
        <v>2</v>
      </c>
      <c r="B231" s="34">
        <v>6</v>
      </c>
      <c r="C231" s="34">
        <v>5</v>
      </c>
      <c r="D231" s="34">
        <v>1</v>
      </c>
      <c r="E231" s="34">
        <v>0.1</v>
      </c>
      <c r="F231" s="35" t="s">
        <v>230</v>
      </c>
      <c r="G231" s="69">
        <f>+G232</f>
        <v>0</v>
      </c>
      <c r="H231" s="37">
        <f>VLOOKUP(F231,[1]PPNE6!$F$22:$N$266,9,FALSE)</f>
        <v>0</v>
      </c>
      <c r="I231" s="70">
        <f>+I232</f>
        <v>0</v>
      </c>
      <c r="J231" s="39">
        <f t="shared" si="25"/>
        <v>0</v>
      </c>
      <c r="K231" s="71">
        <f>+K232</f>
        <v>0.21702603638096041</v>
      </c>
      <c r="L231" s="95">
        <f>J231/12</f>
        <v>0</v>
      </c>
      <c r="M231" s="95"/>
      <c r="N231" s="95">
        <f t="shared" si="26"/>
        <v>0</v>
      </c>
    </row>
    <row r="232" spans="1:256" s="96" customFormat="1" ht="12.75" x14ac:dyDescent="0.2">
      <c r="A232" s="15">
        <v>2</v>
      </c>
      <c r="B232" s="31">
        <v>6</v>
      </c>
      <c r="C232" s="31">
        <v>5</v>
      </c>
      <c r="D232" s="31">
        <v>2</v>
      </c>
      <c r="E232" s="31"/>
      <c r="F232" s="50" t="s">
        <v>231</v>
      </c>
      <c r="G232" s="60"/>
      <c r="H232" s="48">
        <f>VLOOKUP(F232,[1]PPNE6!$F$22:$N$266,9,FALSE)</f>
        <v>1235908.7828571429</v>
      </c>
      <c r="I232" s="61"/>
      <c r="J232" s="33">
        <f t="shared" ref="J232:J263" si="27">SUBTOTAL(9,G232:I232)</f>
        <v>1235908.7828571429</v>
      </c>
      <c r="K232" s="53">
        <f>IFERROR(J232/$J$14*100,"0.00")</f>
        <v>0.21702603638096041</v>
      </c>
      <c r="L232" s="97">
        <f>L233</f>
        <v>100000</v>
      </c>
      <c r="M232" s="97">
        <f>M233</f>
        <v>0</v>
      </c>
      <c r="N232" s="97">
        <f t="shared" ref="N232:N263" si="28">L232-M232</f>
        <v>100000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ht="12.75" x14ac:dyDescent="0.2">
      <c r="A233" s="15">
        <v>2</v>
      </c>
      <c r="B233" s="34">
        <v>6</v>
      </c>
      <c r="C233" s="34">
        <v>5</v>
      </c>
      <c r="D233" s="34">
        <v>2</v>
      </c>
      <c r="E233" s="34">
        <v>0.1</v>
      </c>
      <c r="F233" s="35" t="s">
        <v>232</v>
      </c>
      <c r="G233" s="69">
        <f>+G234</f>
        <v>0</v>
      </c>
      <c r="H233" s="37">
        <f>VLOOKUP(F233,[1]PPNE6!$F$22:$N$266,9,FALSE)</f>
        <v>1200000</v>
      </c>
      <c r="I233" s="70">
        <f>+I234</f>
        <v>0</v>
      </c>
      <c r="J233" s="39">
        <f t="shared" si="27"/>
        <v>1200000</v>
      </c>
      <c r="K233" s="71">
        <f>+K234</f>
        <v>3.7016557454462666</v>
      </c>
      <c r="L233" s="95">
        <f t="shared" ref="L233:L238" si="29">J233/12</f>
        <v>100000</v>
      </c>
      <c r="M233" s="95"/>
      <c r="N233" s="95">
        <f t="shared" si="28"/>
        <v>100000</v>
      </c>
    </row>
    <row r="234" spans="1:256" ht="12.75" x14ac:dyDescent="0.2">
      <c r="A234" s="15">
        <v>2</v>
      </c>
      <c r="B234" s="34">
        <v>6</v>
      </c>
      <c r="C234" s="34">
        <v>5</v>
      </c>
      <c r="D234" s="34">
        <v>4</v>
      </c>
      <c r="E234" s="34">
        <v>0.1</v>
      </c>
      <c r="F234" s="35" t="s">
        <v>233</v>
      </c>
      <c r="G234" s="63"/>
      <c r="H234" s="37">
        <f>VLOOKUP(F234,[1]PPNE6!$F$22:$N$266,9,FALSE)</f>
        <v>21080000</v>
      </c>
      <c r="I234" s="64"/>
      <c r="J234" s="39">
        <f t="shared" si="27"/>
        <v>21080000</v>
      </c>
      <c r="K234" s="40">
        <f>IFERROR(J234/$J$14*100,"0.00")</f>
        <v>3.7016557454462666</v>
      </c>
      <c r="L234" s="95">
        <f t="shared" si="29"/>
        <v>1756666.6666666667</v>
      </c>
      <c r="M234" s="95"/>
      <c r="N234" s="95">
        <f t="shared" si="28"/>
        <v>1756666.6666666667</v>
      </c>
    </row>
    <row r="235" spans="1:256" ht="12.75" x14ac:dyDescent="0.2">
      <c r="A235" s="15">
        <v>2</v>
      </c>
      <c r="B235" s="34">
        <v>6</v>
      </c>
      <c r="C235" s="34">
        <v>5</v>
      </c>
      <c r="D235" s="34">
        <v>5</v>
      </c>
      <c r="E235" s="34">
        <v>0.1</v>
      </c>
      <c r="F235" s="35" t="s">
        <v>234</v>
      </c>
      <c r="G235" s="69">
        <f>+G236</f>
        <v>0</v>
      </c>
      <c r="H235" s="37">
        <f>VLOOKUP(F235,[1]PPNE6!$F$22:$N$266,9,FALSE)</f>
        <v>1235908.7828571429</v>
      </c>
      <c r="I235" s="70">
        <f>+I236</f>
        <v>0</v>
      </c>
      <c r="J235" s="39">
        <f t="shared" si="27"/>
        <v>1235908.7828571429</v>
      </c>
      <c r="K235" s="71">
        <f>+K236</f>
        <v>0.52680110229311194</v>
      </c>
      <c r="L235" s="95">
        <f t="shared" si="29"/>
        <v>102992.39857142857</v>
      </c>
      <c r="M235" s="95"/>
      <c r="N235" s="95">
        <f t="shared" si="28"/>
        <v>102992.39857142857</v>
      </c>
    </row>
    <row r="236" spans="1:256" ht="12.75" x14ac:dyDescent="0.2">
      <c r="A236" s="15">
        <v>2</v>
      </c>
      <c r="B236" s="34">
        <v>6</v>
      </c>
      <c r="C236" s="34">
        <v>5</v>
      </c>
      <c r="D236" s="34">
        <v>6</v>
      </c>
      <c r="E236" s="34">
        <v>0.1</v>
      </c>
      <c r="F236" s="35" t="s">
        <v>235</v>
      </c>
      <c r="G236" s="63"/>
      <c r="H236" s="37">
        <f>VLOOKUP(F236,[1]PPNE6!$F$22:$N$266,9,FALSE)</f>
        <v>3000000</v>
      </c>
      <c r="I236" s="64"/>
      <c r="J236" s="39">
        <f t="shared" si="27"/>
        <v>3000000</v>
      </c>
      <c r="K236" s="40">
        <f>IFERROR(J236/$J$14*100,"0.00")</f>
        <v>0.52680110229311194</v>
      </c>
      <c r="L236" s="95">
        <f t="shared" si="29"/>
        <v>250000</v>
      </c>
      <c r="M236" s="95"/>
      <c r="N236" s="95">
        <f t="shared" si="28"/>
        <v>250000</v>
      </c>
    </row>
    <row r="237" spans="1:256" ht="12.75" x14ac:dyDescent="0.2">
      <c r="A237" s="15">
        <v>2</v>
      </c>
      <c r="B237" s="34">
        <v>6</v>
      </c>
      <c r="C237" s="34">
        <v>5</v>
      </c>
      <c r="D237" s="34">
        <v>7</v>
      </c>
      <c r="E237" s="34">
        <v>0.1</v>
      </c>
      <c r="F237" s="35" t="s">
        <v>236</v>
      </c>
      <c r="G237" s="36">
        <f>+G238+G240+G242+G244+G246+G248</f>
        <v>0</v>
      </c>
      <c r="H237" s="37">
        <f>VLOOKUP(F237,[1]PPNE6!$F$22:$N$266,9,FALSE)</f>
        <v>0</v>
      </c>
      <c r="I237" s="38">
        <f>+I238+I240+I242+I244+I246+I248</f>
        <v>0</v>
      </c>
      <c r="J237" s="39">
        <f t="shared" si="27"/>
        <v>0</v>
      </c>
      <c r="K237" s="30">
        <f>+K238+K240+K242+K244+K246+K248</f>
        <v>0.28071976653547281</v>
      </c>
      <c r="L237" s="95">
        <f t="shared" si="29"/>
        <v>0</v>
      </c>
      <c r="M237" s="95"/>
      <c r="N237" s="95">
        <f t="shared" si="28"/>
        <v>0</v>
      </c>
    </row>
    <row r="238" spans="1:256" ht="12.75" x14ac:dyDescent="0.2">
      <c r="A238" s="15">
        <v>2</v>
      </c>
      <c r="B238" s="34">
        <v>6</v>
      </c>
      <c r="C238" s="34">
        <v>5</v>
      </c>
      <c r="D238" s="34">
        <v>8</v>
      </c>
      <c r="E238" s="34">
        <v>0.1</v>
      </c>
      <c r="F238" s="35" t="s">
        <v>237</v>
      </c>
      <c r="G238" s="47">
        <f>G239</f>
        <v>0</v>
      </c>
      <c r="H238" s="37">
        <f>VLOOKUP(F238,[1]PPNE6!$F$22:$N$266,9,FALSE)</f>
        <v>0</v>
      </c>
      <c r="I238" s="45">
        <f>I239</f>
        <v>0</v>
      </c>
      <c r="J238" s="39">
        <f t="shared" si="27"/>
        <v>0</v>
      </c>
      <c r="K238" s="46">
        <f>K239</f>
        <v>0</v>
      </c>
      <c r="L238" s="95">
        <f t="shared" si="29"/>
        <v>0</v>
      </c>
      <c r="M238" s="95"/>
      <c r="N238" s="95">
        <f t="shared" si="28"/>
        <v>0</v>
      </c>
    </row>
    <row r="239" spans="1:256" s="96" customFormat="1" ht="12.75" x14ac:dyDescent="0.2">
      <c r="A239" s="15">
        <v>2</v>
      </c>
      <c r="B239" s="56">
        <v>6</v>
      </c>
      <c r="C239" s="56">
        <v>6</v>
      </c>
      <c r="D239" s="56"/>
      <c r="E239" s="56"/>
      <c r="F239" s="101" t="s">
        <v>238</v>
      </c>
      <c r="G239" s="51"/>
      <c r="H239" s="48">
        <f>VLOOKUP(F239,[1]PPNE6!$F$22:$N$266,9,FALSE)</f>
        <v>0</v>
      </c>
      <c r="I239" s="52"/>
      <c r="J239" s="43">
        <f t="shared" si="27"/>
        <v>0</v>
      </c>
      <c r="K239" s="62">
        <f>IFERROR(J239/$J$14*100,"0.00")</f>
        <v>0</v>
      </c>
      <c r="L239" s="99">
        <f>L240+L242</f>
        <v>0</v>
      </c>
      <c r="M239" s="99">
        <f>M240+M242</f>
        <v>0</v>
      </c>
      <c r="N239" s="99">
        <f t="shared" si="28"/>
        <v>0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s="96" customFormat="1" ht="12.75" x14ac:dyDescent="0.2">
      <c r="A240" s="15">
        <v>2</v>
      </c>
      <c r="B240" s="56">
        <v>6</v>
      </c>
      <c r="C240" s="56">
        <v>6</v>
      </c>
      <c r="D240" s="56">
        <v>1</v>
      </c>
      <c r="E240" s="56"/>
      <c r="F240" s="98" t="s">
        <v>239</v>
      </c>
      <c r="G240" s="66">
        <f>+G241</f>
        <v>0</v>
      </c>
      <c r="H240" s="48">
        <f>VLOOKUP(F240,[1]PPNE6!$F$22:$N$266,9,FALSE)</f>
        <v>0</v>
      </c>
      <c r="I240" s="67">
        <f>+I241</f>
        <v>0</v>
      </c>
      <c r="J240" s="33">
        <f t="shared" si="27"/>
        <v>0</v>
      </c>
      <c r="K240" s="68">
        <f>+K241</f>
        <v>0</v>
      </c>
      <c r="L240" s="97">
        <f>L241</f>
        <v>0</v>
      </c>
      <c r="M240" s="97">
        <f>M241</f>
        <v>0</v>
      </c>
      <c r="N240" s="97">
        <f t="shared" si="28"/>
        <v>0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ht="12.75" x14ac:dyDescent="0.2">
      <c r="A241" s="15">
        <v>2</v>
      </c>
      <c r="B241" s="82">
        <v>6</v>
      </c>
      <c r="C241" s="82">
        <v>6</v>
      </c>
      <c r="D241" s="82">
        <v>1</v>
      </c>
      <c r="E241" s="82" t="s">
        <v>205</v>
      </c>
      <c r="F241" s="100" t="s">
        <v>239</v>
      </c>
      <c r="G241" s="36"/>
      <c r="H241" s="37">
        <f>VLOOKUP(F241,[1]PPNE6!$F$22:$N$266,9,FALSE)</f>
        <v>0</v>
      </c>
      <c r="I241" s="38"/>
      <c r="J241" s="39">
        <f t="shared" si="27"/>
        <v>0</v>
      </c>
      <c r="K241" s="40">
        <f>IFERROR(J241/$J$14*100,"0.00")</f>
        <v>0</v>
      </c>
      <c r="L241" s="95">
        <f>J241/12</f>
        <v>0</v>
      </c>
      <c r="M241" s="95"/>
      <c r="N241" s="95">
        <f t="shared" si="28"/>
        <v>0</v>
      </c>
    </row>
    <row r="242" spans="1:256" s="96" customFormat="1" ht="12.75" x14ac:dyDescent="0.2">
      <c r="A242" s="15">
        <v>2</v>
      </c>
      <c r="B242" s="56">
        <v>6</v>
      </c>
      <c r="C242" s="56">
        <v>6</v>
      </c>
      <c r="D242" s="56">
        <v>2</v>
      </c>
      <c r="E242" s="56"/>
      <c r="F242" s="98" t="s">
        <v>240</v>
      </c>
      <c r="G242" s="66">
        <f>+G243</f>
        <v>0</v>
      </c>
      <c r="H242" s="48">
        <f>VLOOKUP(F242,[1]PPNE6!$F$22:$N$266,9,FALSE)</f>
        <v>0</v>
      </c>
      <c r="I242" s="67">
        <f>+I243</f>
        <v>0</v>
      </c>
      <c r="J242" s="33">
        <f t="shared" si="27"/>
        <v>0</v>
      </c>
      <c r="K242" s="68">
        <f>+K243</f>
        <v>0</v>
      </c>
      <c r="L242" s="97">
        <f>L243</f>
        <v>0</v>
      </c>
      <c r="M242" s="97">
        <f>M243</f>
        <v>0</v>
      </c>
      <c r="N242" s="97">
        <f t="shared" si="28"/>
        <v>0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2.75" x14ac:dyDescent="0.2">
      <c r="A243" s="15">
        <v>2</v>
      </c>
      <c r="B243" s="82">
        <v>6</v>
      </c>
      <c r="C243" s="82">
        <v>6</v>
      </c>
      <c r="D243" s="82">
        <v>2</v>
      </c>
      <c r="E243" s="82" t="s">
        <v>205</v>
      </c>
      <c r="F243" s="100" t="s">
        <v>240</v>
      </c>
      <c r="G243" s="36"/>
      <c r="H243" s="37">
        <f>VLOOKUP(F243,[1]PPNE6!$F$22:$N$266,9,FALSE)</f>
        <v>0</v>
      </c>
      <c r="I243" s="38"/>
      <c r="J243" s="39">
        <f t="shared" si="27"/>
        <v>0</v>
      </c>
      <c r="K243" s="40">
        <f>IFERROR(J243/$J$14*100,"0.00")</f>
        <v>0</v>
      </c>
      <c r="L243" s="95">
        <f>J243/12</f>
        <v>0</v>
      </c>
      <c r="M243" s="95"/>
      <c r="N243" s="95">
        <f t="shared" si="28"/>
        <v>0</v>
      </c>
    </row>
    <row r="244" spans="1:256" s="96" customFormat="1" ht="12.75" x14ac:dyDescent="0.2">
      <c r="A244" s="15">
        <v>2</v>
      </c>
      <c r="B244" s="56">
        <v>6</v>
      </c>
      <c r="C244" s="56">
        <v>7</v>
      </c>
      <c r="D244" s="56"/>
      <c r="E244" s="56"/>
      <c r="F244" s="98" t="s">
        <v>241</v>
      </c>
      <c r="G244" s="66">
        <f>+G245</f>
        <v>0</v>
      </c>
      <c r="H244" s="48">
        <f>VLOOKUP(F244,[1]PPNE6!$F$22:$N$266,9,FALSE)</f>
        <v>0</v>
      </c>
      <c r="I244" s="67">
        <f>+I245</f>
        <v>0</v>
      </c>
      <c r="J244" s="33">
        <f t="shared" si="27"/>
        <v>0</v>
      </c>
      <c r="K244" s="68">
        <f>+K245</f>
        <v>0</v>
      </c>
      <c r="L244" s="97">
        <f>L245</f>
        <v>0</v>
      </c>
      <c r="M244" s="97">
        <f>M245</f>
        <v>0</v>
      </c>
      <c r="N244" s="97">
        <f t="shared" si="28"/>
        <v>0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ht="12.75" x14ac:dyDescent="0.2">
      <c r="A245" s="15">
        <v>2</v>
      </c>
      <c r="B245" s="34">
        <v>6</v>
      </c>
      <c r="C245" s="34">
        <v>7</v>
      </c>
      <c r="D245" s="34">
        <v>9</v>
      </c>
      <c r="E245" s="34">
        <v>0.1</v>
      </c>
      <c r="F245" s="35" t="s">
        <v>242</v>
      </c>
      <c r="G245" s="63"/>
      <c r="H245" s="37">
        <f>VLOOKUP(F245,[1]PPNE6!$F$22:$N$266,9,FALSE)</f>
        <v>0</v>
      </c>
      <c r="I245" s="64"/>
      <c r="J245" s="39">
        <f t="shared" si="27"/>
        <v>0</v>
      </c>
      <c r="K245" s="40">
        <f>IFERROR(J245/$J$14*100,"0.00")</f>
        <v>0</v>
      </c>
      <c r="L245" s="95">
        <f>J245/12</f>
        <v>0</v>
      </c>
      <c r="M245" s="95"/>
      <c r="N245" s="95">
        <f t="shared" si="28"/>
        <v>0</v>
      </c>
    </row>
    <row r="246" spans="1:256" s="96" customFormat="1" ht="12.75" x14ac:dyDescent="0.2">
      <c r="A246" s="15">
        <v>2</v>
      </c>
      <c r="B246" s="56">
        <v>6</v>
      </c>
      <c r="C246" s="56">
        <v>8</v>
      </c>
      <c r="D246" s="56"/>
      <c r="E246" s="56"/>
      <c r="F246" s="98" t="s">
        <v>243</v>
      </c>
      <c r="G246" s="66">
        <f>+G247</f>
        <v>0</v>
      </c>
      <c r="H246" s="48">
        <f>VLOOKUP(F246,[1]PPNE6!$F$22:$N$266,9,FALSE)</f>
        <v>2248628.5828571431</v>
      </c>
      <c r="I246" s="67">
        <f>+I247</f>
        <v>0</v>
      </c>
      <c r="J246" s="43">
        <f t="shared" si="27"/>
        <v>2248628.5828571431</v>
      </c>
      <c r="K246" s="68">
        <f>+K247</f>
        <v>0.28071976653547281</v>
      </c>
      <c r="L246" s="99">
        <f>L247+L249+L251</f>
        <v>54166.666666666664</v>
      </c>
      <c r="M246" s="99">
        <f>M247+M249+M251</f>
        <v>0</v>
      </c>
      <c r="N246" s="99">
        <f t="shared" si="28"/>
        <v>54166.666666666664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s="96" customFormat="1" ht="12.75" x14ac:dyDescent="0.2">
      <c r="A247" s="15">
        <v>2</v>
      </c>
      <c r="B247" s="56">
        <v>6</v>
      </c>
      <c r="C247" s="56">
        <v>8</v>
      </c>
      <c r="D247" s="56">
        <v>3</v>
      </c>
      <c r="E247" s="56"/>
      <c r="F247" s="98" t="s">
        <v>244</v>
      </c>
      <c r="G247" s="66"/>
      <c r="H247" s="48">
        <f>VLOOKUP(F247,[1]PPNE6!$F$22:$N$266,9,FALSE)</f>
        <v>1598628.5828571429</v>
      </c>
      <c r="I247" s="67"/>
      <c r="J247" s="33">
        <f t="shared" si="27"/>
        <v>1598628.5828571429</v>
      </c>
      <c r="K247" s="68">
        <f>IFERROR(J247/$J$14*100,"0.00")</f>
        <v>0.28071976653547281</v>
      </c>
      <c r="L247" s="97">
        <f>L248</f>
        <v>54166.666666666664</v>
      </c>
      <c r="M247" s="97">
        <f>M248</f>
        <v>0</v>
      </c>
      <c r="N247" s="97">
        <f t="shared" si="28"/>
        <v>54166.666666666664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2.75" x14ac:dyDescent="0.2">
      <c r="A248" s="15">
        <v>2</v>
      </c>
      <c r="B248" s="34">
        <v>6</v>
      </c>
      <c r="C248" s="34">
        <v>8</v>
      </c>
      <c r="D248" s="34">
        <v>3</v>
      </c>
      <c r="E248" s="34">
        <v>0.1</v>
      </c>
      <c r="F248" s="35" t="s">
        <v>245</v>
      </c>
      <c r="G248" s="69">
        <f>+G249</f>
        <v>0</v>
      </c>
      <c r="H248" s="37">
        <f>VLOOKUP(F248,[1]PPNE6!$F$22:$N$266,9,FALSE)</f>
        <v>650000</v>
      </c>
      <c r="I248" s="70">
        <f>+I249</f>
        <v>0</v>
      </c>
      <c r="J248" s="39">
        <f t="shared" si="27"/>
        <v>650000</v>
      </c>
      <c r="K248" s="71">
        <f>+K249</f>
        <v>0</v>
      </c>
      <c r="L248" s="95">
        <f>J248/12</f>
        <v>54166.666666666664</v>
      </c>
      <c r="M248" s="95"/>
      <c r="N248" s="95">
        <f t="shared" si="28"/>
        <v>54166.666666666664</v>
      </c>
    </row>
    <row r="249" spans="1:256" s="96" customFormat="1" ht="12.75" x14ac:dyDescent="0.2">
      <c r="A249" s="15">
        <v>2</v>
      </c>
      <c r="B249" s="56">
        <v>6</v>
      </c>
      <c r="C249" s="56">
        <v>8</v>
      </c>
      <c r="D249" s="56">
        <v>5</v>
      </c>
      <c r="E249" s="56"/>
      <c r="F249" s="98" t="s">
        <v>246</v>
      </c>
      <c r="G249" s="66"/>
      <c r="H249" s="48">
        <f>VLOOKUP(F249,[1]PPNE6!$F$22:$N$266,9,FALSE)</f>
        <v>0</v>
      </c>
      <c r="I249" s="67"/>
      <c r="J249" s="33">
        <f t="shared" si="27"/>
        <v>0</v>
      </c>
      <c r="K249" s="68">
        <f>IFERROR(J249/$J$14*100,"0.00")</f>
        <v>0</v>
      </c>
      <c r="L249" s="97">
        <f>L250</f>
        <v>0</v>
      </c>
      <c r="M249" s="97">
        <f>M250</f>
        <v>0</v>
      </c>
      <c r="N249" s="97">
        <f t="shared" si="28"/>
        <v>0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ht="12.75" x14ac:dyDescent="0.2">
      <c r="A250" s="15">
        <v>2</v>
      </c>
      <c r="B250" s="34">
        <v>6</v>
      </c>
      <c r="C250" s="34">
        <v>8</v>
      </c>
      <c r="D250" s="34">
        <v>5</v>
      </c>
      <c r="E250" s="34">
        <v>0.1</v>
      </c>
      <c r="F250" s="35" t="s">
        <v>246</v>
      </c>
      <c r="G250" s="36">
        <f>+G251+G253</f>
        <v>0</v>
      </c>
      <c r="H250" s="37">
        <f>VLOOKUP(F250,[1]PPNE6!$F$22:$N$266,9,FALSE)</f>
        <v>0</v>
      </c>
      <c r="I250" s="38">
        <f>+I251+I253</f>
        <v>0</v>
      </c>
      <c r="J250" s="39">
        <f t="shared" si="27"/>
        <v>0</v>
      </c>
      <c r="K250" s="30">
        <f>+K251+K253</f>
        <v>0</v>
      </c>
      <c r="L250" s="95">
        <f>J250/12</f>
        <v>0</v>
      </c>
      <c r="M250" s="95"/>
      <c r="N250" s="95">
        <f t="shared" si="28"/>
        <v>0</v>
      </c>
    </row>
    <row r="251" spans="1:256" ht="12.75" x14ac:dyDescent="0.2">
      <c r="A251" s="15">
        <v>2</v>
      </c>
      <c r="B251" s="34">
        <v>6</v>
      </c>
      <c r="C251" s="34">
        <v>8</v>
      </c>
      <c r="D251" s="34">
        <v>8</v>
      </c>
      <c r="E251" s="34"/>
      <c r="F251" s="35" t="s">
        <v>247</v>
      </c>
      <c r="G251" s="69">
        <f>+G252</f>
        <v>0</v>
      </c>
      <c r="H251" s="37">
        <f>VLOOKUP(F251,[1]PPNE6!$F$22:$N$266,9,FALSE)</f>
        <v>0</v>
      </c>
      <c r="I251" s="70">
        <f>+I252</f>
        <v>0</v>
      </c>
      <c r="J251" s="39">
        <f t="shared" si="27"/>
        <v>0</v>
      </c>
      <c r="K251" s="71">
        <f>+K252</f>
        <v>0</v>
      </c>
      <c r="L251" s="95">
        <f>L252</f>
        <v>0</v>
      </c>
      <c r="M251" s="95"/>
      <c r="N251" s="95">
        <f t="shared" si="28"/>
        <v>0</v>
      </c>
    </row>
    <row r="252" spans="1:256" ht="12.75" x14ac:dyDescent="0.2">
      <c r="A252" s="15">
        <v>2</v>
      </c>
      <c r="B252" s="34">
        <v>6</v>
      </c>
      <c r="C252" s="34">
        <v>8</v>
      </c>
      <c r="D252" s="34">
        <v>8</v>
      </c>
      <c r="E252" s="34">
        <v>0.1</v>
      </c>
      <c r="F252" s="35" t="s">
        <v>248</v>
      </c>
      <c r="G252" s="36"/>
      <c r="H252" s="37">
        <f>VLOOKUP(F252,[1]PPNE6!$F$22:$N$266,9,FALSE)</f>
        <v>0</v>
      </c>
      <c r="I252" s="38"/>
      <c r="J252" s="39">
        <f t="shared" si="27"/>
        <v>0</v>
      </c>
      <c r="K252" s="40">
        <f>IFERROR(J252/$J$14*100,"0.00")</f>
        <v>0</v>
      </c>
      <c r="L252" s="95">
        <f>J252/12</f>
        <v>0</v>
      </c>
      <c r="M252" s="95">
        <v>0</v>
      </c>
      <c r="N252" s="95">
        <f t="shared" si="28"/>
        <v>0</v>
      </c>
    </row>
    <row r="253" spans="1:256" ht="12.75" x14ac:dyDescent="0.2">
      <c r="A253" s="15">
        <v>2</v>
      </c>
      <c r="B253" s="34">
        <v>6</v>
      </c>
      <c r="C253" s="34">
        <v>9</v>
      </c>
      <c r="D253" s="34"/>
      <c r="E253" s="34"/>
      <c r="F253" s="35" t="s">
        <v>249</v>
      </c>
      <c r="G253" s="69">
        <f>+G254</f>
        <v>0</v>
      </c>
      <c r="H253" s="37">
        <f>VLOOKUP(F253,[1]PPNE6!$F$22:$N$266,9,FALSE)</f>
        <v>0</v>
      </c>
      <c r="I253" s="70">
        <f>+I254</f>
        <v>0</v>
      </c>
      <c r="J253" s="39">
        <f t="shared" si="27"/>
        <v>0</v>
      </c>
      <c r="K253" s="71">
        <f>+K254</f>
        <v>0</v>
      </c>
      <c r="L253" s="95">
        <f>L254+L256+L258</f>
        <v>0</v>
      </c>
      <c r="M253" s="95"/>
      <c r="N253" s="95">
        <f t="shared" si="28"/>
        <v>0</v>
      </c>
    </row>
    <row r="254" spans="1:256" ht="12.75" x14ac:dyDescent="0.2">
      <c r="A254" s="15">
        <v>2</v>
      </c>
      <c r="B254" s="34">
        <v>6</v>
      </c>
      <c r="C254" s="34">
        <v>9</v>
      </c>
      <c r="D254" s="34">
        <v>1</v>
      </c>
      <c r="E254" s="34"/>
      <c r="F254" s="35" t="s">
        <v>250</v>
      </c>
      <c r="G254" s="63"/>
      <c r="H254" s="37">
        <f>VLOOKUP(F254,[1]PPNE6!$F$22:$N$266,9,FALSE)</f>
        <v>0</v>
      </c>
      <c r="I254" s="64"/>
      <c r="J254" s="39">
        <f t="shared" si="27"/>
        <v>0</v>
      </c>
      <c r="K254" s="40">
        <f>IFERROR(J254/$J$14*100,"0.00")</f>
        <v>0</v>
      </c>
      <c r="L254" s="95">
        <f>L255</f>
        <v>0</v>
      </c>
      <c r="M254" s="95"/>
      <c r="N254" s="95">
        <f t="shared" si="28"/>
        <v>0</v>
      </c>
    </row>
    <row r="255" spans="1:256" ht="12.75" x14ac:dyDescent="0.2">
      <c r="A255" s="15">
        <v>2</v>
      </c>
      <c r="B255" s="34">
        <v>6</v>
      </c>
      <c r="C255" s="34">
        <v>9</v>
      </c>
      <c r="D255" s="34">
        <v>1</v>
      </c>
      <c r="E255" s="34" t="s">
        <v>205</v>
      </c>
      <c r="F255" s="35" t="s">
        <v>250</v>
      </c>
      <c r="G255" s="36"/>
      <c r="H255" s="37">
        <f>VLOOKUP(F255,[1]PPNE6!$F$22:$N$266,9,FALSE)</f>
        <v>0</v>
      </c>
      <c r="I255" s="38"/>
      <c r="J255" s="39">
        <f t="shared" si="27"/>
        <v>0</v>
      </c>
      <c r="K255" s="30" t="e">
        <f>+K256+K258+K260+#REF!+#REF!</f>
        <v>#REF!</v>
      </c>
      <c r="L255" s="95">
        <f>J255/12</f>
        <v>0</v>
      </c>
      <c r="M255" s="95"/>
      <c r="N255" s="95">
        <f t="shared" si="28"/>
        <v>0</v>
      </c>
    </row>
    <row r="256" spans="1:256" ht="12.75" x14ac:dyDescent="0.2">
      <c r="A256" s="15">
        <v>2</v>
      </c>
      <c r="B256" s="34">
        <v>6</v>
      </c>
      <c r="C256" s="34">
        <v>9</v>
      </c>
      <c r="D256" s="34">
        <v>2</v>
      </c>
      <c r="E256" s="34"/>
      <c r="F256" s="35" t="s">
        <v>251</v>
      </c>
      <c r="G256" s="69">
        <f>+G257</f>
        <v>0</v>
      </c>
      <c r="H256" s="37">
        <f>VLOOKUP(F256,[1]PPNE6!$F$22:$N$266,9,FALSE)</f>
        <v>0</v>
      </c>
      <c r="I256" s="70">
        <f>+I257</f>
        <v>0</v>
      </c>
      <c r="J256" s="39">
        <f t="shared" si="27"/>
        <v>0</v>
      </c>
      <c r="K256" s="71">
        <f>+K257</f>
        <v>0</v>
      </c>
      <c r="L256" s="95">
        <f>L257</f>
        <v>0</v>
      </c>
      <c r="M256" s="95"/>
      <c r="N256" s="95">
        <f t="shared" si="28"/>
        <v>0</v>
      </c>
    </row>
    <row r="257" spans="1:14" ht="12.75" x14ac:dyDescent="0.2">
      <c r="A257" s="15">
        <v>2</v>
      </c>
      <c r="B257" s="34">
        <v>6</v>
      </c>
      <c r="C257" s="34">
        <v>9</v>
      </c>
      <c r="D257" s="34">
        <v>2</v>
      </c>
      <c r="E257" s="34" t="s">
        <v>205</v>
      </c>
      <c r="F257" s="35" t="s">
        <v>251</v>
      </c>
      <c r="G257" s="63"/>
      <c r="H257" s="37">
        <f>VLOOKUP(F257,[1]PPNE6!$F$22:$N$266,9,FALSE)</f>
        <v>0</v>
      </c>
      <c r="I257" s="64"/>
      <c r="J257" s="39">
        <f t="shared" si="27"/>
        <v>0</v>
      </c>
      <c r="K257" s="40">
        <f>IFERROR(J257/$J$14*100,"0.00")</f>
        <v>0</v>
      </c>
      <c r="L257" s="95">
        <f>J257/12</f>
        <v>0</v>
      </c>
      <c r="M257" s="95"/>
      <c r="N257" s="95">
        <f t="shared" si="28"/>
        <v>0</v>
      </c>
    </row>
    <row r="258" spans="1:14" ht="12.75" x14ac:dyDescent="0.2">
      <c r="A258" s="15">
        <v>2</v>
      </c>
      <c r="B258" s="34">
        <v>6</v>
      </c>
      <c r="C258" s="34">
        <v>9</v>
      </c>
      <c r="D258" s="34">
        <v>9</v>
      </c>
      <c r="E258" s="34"/>
      <c r="F258" s="35" t="s">
        <v>252</v>
      </c>
      <c r="G258" s="69">
        <f>+G259</f>
        <v>0</v>
      </c>
      <c r="H258" s="37">
        <f>VLOOKUP(F258,[1]PPNE6!$F$22:$N$266,9,FALSE)</f>
        <v>0</v>
      </c>
      <c r="I258" s="70">
        <f>+I259</f>
        <v>0</v>
      </c>
      <c r="J258" s="39">
        <f t="shared" si="27"/>
        <v>0</v>
      </c>
      <c r="K258" s="71">
        <f>+K259</f>
        <v>0</v>
      </c>
      <c r="L258" s="95">
        <f>L259</f>
        <v>0</v>
      </c>
      <c r="M258" s="95"/>
      <c r="N258" s="95">
        <f t="shared" si="28"/>
        <v>0</v>
      </c>
    </row>
    <row r="259" spans="1:14" ht="12.75" x14ac:dyDescent="0.2">
      <c r="A259" s="15">
        <v>2</v>
      </c>
      <c r="B259" s="34">
        <v>6</v>
      </c>
      <c r="C259" s="34">
        <v>9</v>
      </c>
      <c r="D259" s="34">
        <v>9</v>
      </c>
      <c r="E259" s="34" t="s">
        <v>205</v>
      </c>
      <c r="F259" s="35" t="s">
        <v>252</v>
      </c>
      <c r="G259" s="63"/>
      <c r="H259" s="37">
        <f>VLOOKUP(F259,[1]PPNE6!$F$22:$N$266,9,FALSE)</f>
        <v>0</v>
      </c>
      <c r="I259" s="64"/>
      <c r="J259" s="39">
        <f t="shared" si="27"/>
        <v>0</v>
      </c>
      <c r="K259" s="40">
        <f>IFERROR(J259/$J$14*100,"0.00")</f>
        <v>0</v>
      </c>
      <c r="L259" s="95">
        <f>J259/12</f>
        <v>0</v>
      </c>
      <c r="M259" s="95"/>
      <c r="N259" s="95">
        <f t="shared" si="28"/>
        <v>0</v>
      </c>
    </row>
    <row r="260" spans="1:14" ht="12.75" x14ac:dyDescent="0.2">
      <c r="A260" s="15">
        <v>2</v>
      </c>
      <c r="B260" s="16">
        <v>7</v>
      </c>
      <c r="C260" s="17"/>
      <c r="D260" s="17"/>
      <c r="E260" s="18"/>
      <c r="F260" s="94" t="s">
        <v>253</v>
      </c>
      <c r="G260" s="19">
        <f>+G261</f>
        <v>0</v>
      </c>
      <c r="H260" s="20">
        <f>VLOOKUP(F260,[1]PPNE6!$F$22:$N$266,9,FALSE)</f>
        <v>2614957.25</v>
      </c>
      <c r="I260" s="21">
        <f>+I261</f>
        <v>0</v>
      </c>
      <c r="J260" s="22">
        <f t="shared" si="27"/>
        <v>2614957.25</v>
      </c>
      <c r="K260" s="14">
        <f>+K261</f>
        <v>0.45918745391645488</v>
      </c>
      <c r="L260" s="93">
        <f>L261</f>
        <v>217913.10416666666</v>
      </c>
      <c r="M260" s="93">
        <f>M261</f>
        <v>0</v>
      </c>
      <c r="N260" s="93">
        <f t="shared" si="28"/>
        <v>217913.10416666666</v>
      </c>
    </row>
    <row r="261" spans="1:14" ht="12.75" x14ac:dyDescent="0.2">
      <c r="A261" s="83">
        <v>2</v>
      </c>
      <c r="B261" s="84">
        <v>7</v>
      </c>
      <c r="C261" s="84">
        <v>1</v>
      </c>
      <c r="D261" s="84">
        <v>3</v>
      </c>
      <c r="E261" s="84" t="s">
        <v>205</v>
      </c>
      <c r="F261" s="85" t="s">
        <v>253</v>
      </c>
      <c r="G261" s="86"/>
      <c r="H261" s="87">
        <f>VLOOKUP(F261,[1]PPNE6!$F$22:$N$266,9,FALSE)</f>
        <v>2614957.25</v>
      </c>
      <c r="I261" s="88"/>
      <c r="J261" s="89">
        <f t="shared" si="27"/>
        <v>2614957.25</v>
      </c>
      <c r="K261" s="90">
        <f>IFERROR(J261/$J$14*100,"0.00")</f>
        <v>0.45918745391645488</v>
      </c>
      <c r="L261" s="92">
        <f>J261/12</f>
        <v>217913.10416666666</v>
      </c>
      <c r="M261" s="92"/>
      <c r="N261" s="92">
        <f t="shared" si="28"/>
        <v>217913.10416666666</v>
      </c>
    </row>
    <row r="262" spans="1:14" x14ac:dyDescent="0.3">
      <c r="L262" s="91"/>
    </row>
  </sheetData>
  <autoFilter ref="A12:K261"/>
  <mergeCells count="18">
    <mergeCell ref="B12:B13"/>
    <mergeCell ref="C12:C13"/>
    <mergeCell ref="D12:D13"/>
    <mergeCell ref="E12:E13"/>
    <mergeCell ref="F12:F13"/>
    <mergeCell ref="F6:M6"/>
    <mergeCell ref="F7:M7"/>
    <mergeCell ref="F8:M8"/>
    <mergeCell ref="F9:M9"/>
    <mergeCell ref="F10:M10"/>
    <mergeCell ref="M12:M13"/>
    <mergeCell ref="N12:N13"/>
    <mergeCell ref="K12:K13"/>
    <mergeCell ref="G12:G13"/>
    <mergeCell ref="H12:H13"/>
    <mergeCell ref="I12:I13"/>
    <mergeCell ref="J12:J13"/>
    <mergeCell ref="L12:L13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PPNE7</vt:lpstr>
      <vt:lpstr>PPNE7!Títulos_a_imprimir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KEYCI AYBAR BRITO</cp:lastModifiedBy>
  <dcterms:created xsi:type="dcterms:W3CDTF">2017-10-06T16:11:11Z</dcterms:created>
  <dcterms:modified xsi:type="dcterms:W3CDTF">2017-10-06T15:26:17Z</dcterms:modified>
</cp:coreProperties>
</file>